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Per-Center" sheetId="3" state="visible" r:id="rId3"/>
    <sheet xmlns:r="http://schemas.openxmlformats.org/officeDocument/2006/relationships" name="Fund Pro Forma" sheetId="4" state="visible" r:id="rId4"/>
    <sheet xmlns:r="http://schemas.openxmlformats.org/officeDocument/2006/relationships" name="Jobs" sheetId="5" state="visible" r:id="rId5"/>
    <sheet xmlns:r="http://schemas.openxmlformats.org/officeDocument/2006/relationships" name="Tiers" sheetId="6" state="visible" r:id="rId6"/>
    <sheet xmlns:r="http://schemas.openxmlformats.org/officeDocument/2006/relationships" name="Hosts" sheetId="7" state="visible" r:id="rId7"/>
    <sheet xmlns:r="http://schemas.openxmlformats.org/officeDocument/2006/relationships" name="Returns" sheetId="8" state="visible" r:id="rId8"/>
    <sheet xmlns:r="http://schemas.openxmlformats.org/officeDocument/2006/relationships" name="Leaderboard" sheetId="9" state="visible" r:id="rId9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0.0%;\(0.0%\);\-"/>
    <numFmt numFmtId="165" formatCode="0.00%;\(0.00%\);\-"/>
    <numFmt numFmtId="166" formatCode="#,##0;\(#,##0\);\-"/>
    <numFmt numFmtId="167" formatCode="\$#,##0;&quot;($&quot;#,##0\);\-"/>
    <numFmt numFmtId="168" formatCode="0.000000"/>
    <numFmt numFmtId="169" formatCode="0.0000"/>
    <numFmt numFmtId="170" formatCode="0.00\x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C2340"/>
      <sz val="15"/>
    </font>
    <font>
      <name val="Arial"/>
      <charset val="1"/>
      <family val="0"/>
      <color rgb="FF475569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sz val="10"/>
    </font>
    <font>
      <name val="Arial"/>
      <charset val="1"/>
      <family val="0"/>
      <color rgb="FF000000"/>
      <sz val="10"/>
    </font>
    <font>
      <name val="Arial"/>
      <charset val="1"/>
      <family val="0"/>
      <i val="1"/>
      <color rgb="FF666666"/>
      <sz val="9"/>
    </font>
    <font>
      <name val="Arial"/>
      <charset val="1"/>
      <family val="0"/>
      <color rgb="FF0000FF"/>
      <sz val="10"/>
    </font>
    <font>
      <name val="Arial"/>
      <charset val="1"/>
      <family val="0"/>
      <color rgb="FF008000"/>
      <sz val="10"/>
    </font>
    <font>
      <name val="Arial"/>
      <charset val="1"/>
      <family val="0"/>
      <sz val="10"/>
    </font>
    <font>
      <color rgb="FF1F4E9C"/>
    </font>
    <font>
      <i val="1"/>
      <sz val="9"/>
    </font>
    <font>
      <i val="1"/>
      <color rgb="FF475569"/>
      <sz val="10"/>
    </font>
    <font>
      <i val="1"/>
      <color rgb="FF64748B"/>
      <sz val="9"/>
    </font>
    <font>
      <sz val="10"/>
    </font>
  </fonts>
  <fills count="3">
    <fill>
      <patternFill/>
    </fill>
    <fill>
      <patternFill patternType="gray125"/>
    </fill>
    <fill>
      <patternFill patternType="solid">
        <fgColor rgb="FF0C2340"/>
        <bgColor rgb="FF33333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8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center" vertical="center" wrapText="1"/>
    </xf>
    <xf numFmtId="164" fontId="10" fillId="0" borderId="0" applyAlignment="1" pivotButton="0" quotePrefix="0" xfId="0">
      <alignment horizontal="general" vertical="bottom"/>
    </xf>
    <xf numFmtId="165" fontId="10" fillId="0" borderId="0" applyAlignment="1" pivotButton="0" quotePrefix="0" xfId="0">
      <alignment horizontal="general" vertical="bottom"/>
    </xf>
    <xf numFmtId="166" fontId="10" fillId="0" borderId="0" applyAlignment="1" pivotButton="0" quotePrefix="0" xfId="0">
      <alignment horizontal="general" vertical="bottom"/>
    </xf>
    <xf numFmtId="167" fontId="10" fillId="0" borderId="0" applyAlignment="1" pivotButton="0" quotePrefix="0" xfId="0">
      <alignment horizontal="general" vertical="bottom"/>
    </xf>
    <xf numFmtId="168" fontId="10" fillId="0" borderId="0" applyAlignment="1" pivotButton="0" quotePrefix="0" xfId="0">
      <alignment horizontal="general" vertical="bottom"/>
    </xf>
    <xf numFmtId="165" fontId="11" fillId="0" borderId="0" applyAlignment="1" pivotButton="0" quotePrefix="0" xfId="0">
      <alignment horizontal="general" vertical="bottom"/>
    </xf>
    <xf numFmtId="169" fontId="11" fillId="0" borderId="0" applyAlignment="1" pivotButton="0" quotePrefix="0" xfId="0">
      <alignment horizontal="general" vertical="bottom"/>
    </xf>
    <xf numFmtId="166" fontId="11" fillId="0" borderId="0" applyAlignment="1" pivotButton="0" quotePrefix="0" xfId="0">
      <alignment horizontal="general" vertical="bottom"/>
    </xf>
    <xf numFmtId="167" fontId="11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center" vertical="bottom"/>
    </xf>
    <xf numFmtId="0" fontId="10" fillId="0" borderId="0" applyAlignment="1" pivotButton="0" quotePrefix="0" xfId="0">
      <alignment horizontal="center" vertical="bottom"/>
    </xf>
    <xf numFmtId="166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7" fontId="8" fillId="0" borderId="0" applyAlignment="1" pivotButton="0" quotePrefix="0" xfId="0">
      <alignment horizontal="general" vertical="bottom"/>
    </xf>
    <xf numFmtId="170" fontId="8" fillId="0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167" fontId="7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general" vertical="top" wrapText="1"/>
    </xf>
    <xf numFmtId="0" fontId="12" fillId="0" borderId="1" applyAlignment="1" pivotButton="0" quotePrefix="0" xfId="0">
      <alignment horizontal="general" vertical="top" wrapText="1"/>
    </xf>
    <xf numFmtId="0" fontId="6" fillId="2" borderId="0" applyAlignment="1" pivotButton="0" quotePrefix="0" xfId="0">
      <alignment horizontal="general" vertical="top" wrapText="1"/>
    </xf>
    <xf numFmtId="0" fontId="12" fillId="0" borderId="1" applyAlignment="1" pivotButton="0" quotePrefix="0" xfId="0">
      <alignment horizontal="general" vertical="bottom"/>
    </xf>
    <xf numFmtId="3" fontId="12" fillId="0" borderId="1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3" fontId="7" fillId="0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center" vertical="bottom"/>
    </xf>
    <xf numFmtId="164" fontId="11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center" vertical="center" wrapText="1"/>
    </xf>
    <xf numFmtId="164" fontId="10" fillId="0" borderId="0" applyAlignment="1" pivotButton="0" quotePrefix="0" xfId="0">
      <alignment horizontal="general" vertical="bottom"/>
    </xf>
    <xf numFmtId="165" fontId="10" fillId="0" borderId="0" applyAlignment="1" pivotButton="0" quotePrefix="0" xfId="0">
      <alignment horizontal="general" vertical="bottom"/>
    </xf>
    <xf numFmtId="166" fontId="10" fillId="0" borderId="0" applyAlignment="1" pivotButton="0" quotePrefix="0" xfId="0">
      <alignment horizontal="general" vertical="bottom"/>
    </xf>
    <xf numFmtId="167" fontId="10" fillId="0" borderId="0" applyAlignment="1" pivotButton="0" quotePrefix="0" xfId="0">
      <alignment horizontal="general" vertical="bottom"/>
    </xf>
    <xf numFmtId="168" fontId="10" fillId="0" borderId="0" applyAlignment="1" pivotButton="0" quotePrefix="0" xfId="0">
      <alignment horizontal="general" vertical="bottom"/>
    </xf>
    <xf numFmtId="165" fontId="11" fillId="0" borderId="0" applyAlignment="1" pivotButton="0" quotePrefix="0" xfId="0">
      <alignment horizontal="general" vertical="bottom"/>
    </xf>
    <xf numFmtId="169" fontId="11" fillId="0" borderId="0" applyAlignment="1" pivotButton="0" quotePrefix="0" xfId="0">
      <alignment horizontal="general" vertical="bottom"/>
    </xf>
    <xf numFmtId="166" fontId="11" fillId="0" borderId="0" applyAlignment="1" pivotButton="0" quotePrefix="0" xfId="0">
      <alignment horizontal="general" vertical="bottom"/>
    </xf>
    <xf numFmtId="167" fontId="11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3" fillId="0" borderId="0" pivotButton="0" quotePrefix="0" xfId="0"/>
    <xf numFmtId="0" fontId="14" fillId="0" borderId="0" pivotButton="0" quotePrefix="0" xfId="0"/>
    <xf numFmtId="0" fontId="8" fillId="0" borderId="0" applyAlignment="1" pivotButton="0" quotePrefix="0" xfId="0">
      <alignment horizontal="center" vertical="bottom"/>
    </xf>
    <xf numFmtId="0" fontId="10" fillId="0" borderId="0" applyAlignment="1" pivotButton="0" quotePrefix="0" xfId="0">
      <alignment horizontal="center" vertical="bottom"/>
    </xf>
    <xf numFmtId="166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7" fontId="8" fillId="0" borderId="0" applyAlignment="1" pivotButton="0" quotePrefix="0" xfId="0">
      <alignment horizontal="general" vertical="bottom"/>
    </xf>
    <xf numFmtId="170" fontId="8" fillId="0" borderId="0" applyAlignment="1" pivotButton="0" quotePrefix="0" xfId="0">
      <alignment horizontal="general" vertical="bottom"/>
    </xf>
    <xf numFmtId="166" fontId="7" fillId="0" borderId="0" applyAlignment="1" pivotButton="0" quotePrefix="0" xfId="0">
      <alignment horizontal="general" vertical="bottom"/>
    </xf>
    <xf numFmtId="167" fontId="7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general" vertical="top" wrapText="1"/>
    </xf>
    <xf numFmtId="0" fontId="12" fillId="0" borderId="1" applyAlignment="1" pivotButton="0" quotePrefix="0" xfId="0">
      <alignment horizontal="general" vertical="top" wrapText="1"/>
    </xf>
    <xf numFmtId="0" fontId="6" fillId="2" borderId="0" applyAlignment="1" pivotButton="0" quotePrefix="0" xfId="0">
      <alignment horizontal="general" vertical="top" wrapText="1"/>
    </xf>
    <xf numFmtId="0" fontId="12" fillId="0" borderId="1" applyAlignment="1" pivotButton="0" quotePrefix="0" xfId="0">
      <alignment horizontal="general" vertical="bottom"/>
    </xf>
    <xf numFmtId="3" fontId="12" fillId="0" borderId="1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3" fontId="7" fillId="0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center" vertical="bottom"/>
    </xf>
    <xf numFmtId="164" fontId="11" fillId="0" borderId="0" applyAlignment="1" pivotButton="0" quotePrefix="0" xfId="0">
      <alignment horizontal="general" vertical="bottom"/>
    </xf>
    <xf numFmtId="0" fontId="15" fillId="0" borderId="0" pivotButton="0" quotePrefix="0" xfId="0"/>
    <xf numFmtId="0" fontId="6" fillId="0" borderId="0" pivotButton="0" quotePrefix="0" xfId="0"/>
    <xf numFmtId="0" fontId="16" fillId="0" borderId="0" pivotButton="0" quotePrefix="0" xfId="0"/>
    <xf numFmtId="0" fontId="6" fillId="2" borderId="0" pivotButton="0" quotePrefix="0" xfId="0"/>
    <xf numFmtId="167" fontId="0" fillId="0" borderId="0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C2340"/>
      <rgbColor rgb="FF339966"/>
      <rgbColor rgb="FF003300"/>
      <rgbColor rgb="FF333300"/>
      <rgbColor rgb="FF993300"/>
      <rgbColor rgb="FF993366"/>
      <rgbColor rgb="FF47556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22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40" min="1" max="1"/>
    <col width="70" customWidth="1" style="40" min="2" max="2"/>
  </cols>
  <sheetData>
    <row r="1" ht="18" customHeight="1" s="41">
      <c r="A1" s="42" t="inlineStr">
        <is>
          <t>PROJECT ION — Financial Model</t>
        </is>
      </c>
    </row>
    <row r="2" ht="15" customHeight="1" s="41">
      <c r="A2" s="43" t="inlineStr">
        <is>
          <t>Strategic Office Networks · Suite Release R3 · Assumptions v1.5 · reconciled engine</t>
        </is>
      </c>
    </row>
    <row r="4" ht="15" customHeight="1" s="41">
      <c r="A4" s="44" t="inlineStr">
        <is>
          <t>Sheet</t>
        </is>
      </c>
      <c r="B4" s="44" t="inlineStr">
        <is>
          <t>Contents</t>
        </is>
      </c>
    </row>
    <row r="5" ht="15" customHeight="1" s="41">
      <c r="A5" s="45" t="inlineStr">
        <is>
          <t>Assumptions</t>
        </is>
      </c>
      <c r="B5" s="46" t="inlineStr">
        <is>
          <t>Global inputs (blue = editable)</t>
        </is>
      </c>
    </row>
    <row r="6" ht="15" customHeight="1" s="41">
      <c r="A6" s="45" t="inlineStr">
        <is>
          <t>Per-Center</t>
        </is>
      </c>
      <c r="B6" s="46" t="inlineStr">
        <is>
          <t>Unit economics &amp; capital per center, with each center's resolved locality inputs (formulas)</t>
        </is>
      </c>
    </row>
    <row r="7" ht="15" customHeight="1" s="41">
      <c r="A7" s="45" t="inlineStr">
        <is>
          <t>Fund Pro Forma</t>
        </is>
      </c>
      <c r="B7" s="46" t="inlineStr">
        <is>
          <t>10-year network roll-up (formulas)</t>
        </is>
      </c>
    </row>
    <row r="8" ht="15" customHeight="1" s="41">
      <c r="A8" s="45" t="inlineStr">
        <is>
          <t>Jobs</t>
        </is>
      </c>
      <c r="B8" s="46" t="inlineStr">
        <is>
          <t>Four-category jobs taxonomy (kept-local seats · operations · induced · construction)</t>
        </is>
      </c>
    </row>
    <row r="9" ht="15" customHeight="1" s="41">
      <c r="A9" s="45" t="inlineStr">
        <is>
          <t>Returns</t>
        </is>
      </c>
      <c r="B9" s="46" t="inlineStr">
        <is>
          <t>Per-center levered cash flow + Local IRR over the hold (grid runs to 10 yrs; hold/exit year is Assumptions B15, default 7 — exit value lands in the hold year)</t>
        </is>
      </c>
    </row>
    <row r="10" ht="15" customHeight="1" s="41">
      <c r="A10" s="45" t="inlineStr">
        <is>
          <t>Leaderboard</t>
        </is>
      </c>
      <c r="B10" s="46" t="inlineStr">
        <is>
          <t>Investor ranking (formulas)</t>
        </is>
      </c>
    </row>
    <row r="11" ht="15" customHeight="1" s="41">
      <c r="A11" s="45" t="inlineStr">
        <is>
          <t>Tiers</t>
        </is>
      </c>
      <c r="B11" s="46" t="inlineStr">
        <is>
          <t>Tier prototype reference</t>
        </is>
      </c>
    </row>
    <row r="12" ht="15" customHeight="1" s="41">
      <c r="A12" s="45" t="inlineStr">
        <is>
          <t>Hosts</t>
        </is>
      </c>
      <c r="B12" s="46" t="inlineStr">
        <is>
          <t>Co-location anchor reference</t>
        </is>
      </c>
    </row>
    <row r="13" ht="15" customHeight="1" s="41"/>
    <row r="14" ht="15" customHeight="1" s="41">
      <c r="A14" s="43" t="inlineStr">
        <is>
          <t>Blue = input  ·  Black = formula  ·  Green = pulls from another sheet</t>
        </is>
      </c>
    </row>
    <row r="15" ht="15" customHeight="1" s="41">
      <c r="A15" s="43" t="inlineStr">
        <is>
          <t>Per-center Yield / OPEX/SF / Commute / Job grant / Tax abate are the locality-resolved values (band + county).</t>
        </is>
      </c>
    </row>
    <row r="16">
      <c r="A16" s="82" t="inlineStr">
        <is>
          <t>This workbook is STANDALONE: blue inputs drive this file only — nothing flows into the web Planner. The Planner ships with the same defaults; the two are reconciled manually at each version cut (fix log below). The "In the web Planner" column on Assumptions maps each input to its home in the dashboard.</t>
        </is>
      </c>
    </row>
    <row r="17" ht="15" customHeight="1" s="41">
      <c r="A17" s="47" t="inlineStr">
        <is>
          <t>R3.1 · July 2026 — adds Jobs sheet and rent-ladder note; matches Dashboard v1.18.</t>
        </is>
      </c>
    </row>
    <row r="18" ht="15" customHeight="1" s="41">
      <c r="A18" s="47" t="inlineStr">
        <is>
          <t>R3.2 · July 2026 — building sponsorship (soft) input added (Assumptions B29, default $0), wired through Per-Center NOI, Returns, and the Fund Pro Forma.</t>
        </is>
      </c>
    </row>
    <row r="19" ht="15" customHeight="1" s="41">
      <c r="A19" s="40" t="inlineStr">
        <is>
          <t>R3.3 · July 29, 2026 — two reconciliation fixes vs Dashboard v1.19: (1) Per-Center Yield $/yr (col O) synced to the v1.19 rent bands (+$1,500/seat/yr; Urban 11,100 / Suburban 9,900 / Exurban 8,700 — matches Assumptions B34 note); (2) Total rev (col AC) now applies the structural-vacancy allowance (Assumptions B33, 5%) to seat revenue — seats × yield × (1−B33) — matching the dashboard convention. Contract and anchor revenue remain un-haircut (contracted). Basis of both fixes: Rent Stress Test memo, Jul 28 (§2b, §4).</t>
        </is>
      </c>
    </row>
    <row r="20">
      <c r="A20" s="40" t="inlineStr">
        <is>
          <t>R3.4-test · August 4, 2026 — v1.20-TEST cut (test folder only, not deployed): (1) RE-vs-Tech CapEx split (cols AQ/AR; AB = AQ+AR identity); (2) opt-in tech replenishment reserve (Assumptions B37–B44, PROVISIONAL shares/periods, default OFF — col AS + informational "DSCR w/ reserve" col AT; NOI col AJ includes AS only when B37=1); (3) roster: Pflugerville rebanded Suburban→Exurban (Yield 8,700 / OPEX 27 / commute 60 — CBRE stress-test flag, Jul 28), San Marcos resized 325→450 seats. Matches Dashboard v1.20-test build 0804a-test.</t>
        </is>
      </c>
    </row>
    <row r="21">
      <c r="A21" s="87" t="inlineStr">
        <is>
          <t>R3.4-test (b) · August 11, 2026 — (1) Returns grid extended Y1–Y10: hold/exit year (Assumptions B15) now honest across 1–10 (previously values above 7 silently dropped the exit value and understated IRR); default hold stays 7; Leaderboard references re-pointed. (2) Assumptions gains an "In the web Planner" column mapping every input to its dashboard home; Cover notes the workbook is standalone (nothing flows into the Planner). (3) Assumptions C40 wording: quantum-safe key management.</t>
        </is>
      </c>
    </row>
    <row r="22">
      <c r="A22" s="87" t="inlineStr">
        <is>
          <t>R3.4 · August 11, 2026 — promoted with Dashboard v1.20 (build 0811a): the "test" designation is retired; no numeric changes from R3.4-test. Ships as the live download alongside Planner v1.20.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4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8" customWidth="1" style="40" min="1" max="1"/>
    <col width="15" customWidth="1" style="40" min="2" max="2"/>
    <col width="22" customWidth="1" style="40" min="3" max="3"/>
    <col width="44" customWidth="1" style="41" min="4" max="4"/>
  </cols>
  <sheetData>
    <row r="1" ht="30" customHeight="1" s="41">
      <c r="A1" s="48" t="inlineStr">
        <is>
          <t>Assumption</t>
        </is>
      </c>
      <c r="B1" s="48" t="inlineStr">
        <is>
          <t>Value</t>
        </is>
      </c>
      <c r="C1" s="48" t="inlineStr">
        <is>
          <t>Unit / note</t>
        </is>
      </c>
      <c r="D1" s="83" t="inlineStr">
        <is>
          <t>In the web Planner</t>
        </is>
      </c>
    </row>
    <row r="2" ht="15" customHeight="1" s="41">
      <c r="A2" s="46" t="inlineStr">
        <is>
          <t>Small-pod premium</t>
        </is>
      </c>
      <c r="B2" s="49" t="n">
        <v>0.15</v>
      </c>
      <c r="C2" s="43" t="inlineStr">
        <is>
          <t>build + facility OPEX</t>
        </is>
      </c>
      <c r="D2" s="84" t="inlineStr">
        <is>
          <t>Slider — Adjust assumptions ▸ Revenue &amp; Space</t>
        </is>
      </c>
    </row>
    <row r="3" ht="15" customHeight="1" s="41">
      <c r="A3" s="46" t="inlineStr">
        <is>
          <t>Tech OPEX rate</t>
        </is>
      </c>
      <c r="B3" s="50" t="n">
        <v>0.0912</v>
      </c>
      <c r="C3" s="43" t="inlineStr">
        <is>
          <t>x grossSF x uplift</t>
        </is>
      </c>
      <c r="D3" s="84" t="inlineStr">
        <is>
          <t>v1.20: four component sliders — Revenue &amp; Space</t>
        </is>
      </c>
    </row>
    <row r="4" ht="15" customHeight="1" s="41">
      <c r="A4" s="46" t="inlineStr">
        <is>
          <t>Commercial debt rate</t>
        </is>
      </c>
      <c r="B4" s="50" t="n">
        <v>0.07000000000000001</v>
      </c>
      <c r="C4" s="43" t="n"/>
      <c r="D4" s="84" t="inlineStr">
        <is>
          <t>Slider — Financing</t>
        </is>
      </c>
    </row>
    <row r="5" ht="15" customHeight="1" s="41">
      <c r="A5" s="46" t="inlineStr">
        <is>
          <t>Community-bond rate</t>
        </is>
      </c>
      <c r="B5" s="50" t="n">
        <v>0.045</v>
      </c>
      <c r="C5" s="43" t="n"/>
      <c r="D5" s="84" t="inlineStr">
        <is>
          <t>Slider — Financing</t>
        </is>
      </c>
    </row>
    <row r="6" ht="15" customHeight="1" s="41">
      <c r="A6" s="46" t="inlineStr">
        <is>
          <t>Community-bond share</t>
        </is>
      </c>
      <c r="B6" s="49" t="n">
        <v>0</v>
      </c>
      <c r="C6" s="43" t="inlineStr">
        <is>
          <t>of debt</t>
        </is>
      </c>
      <c r="D6" s="84" t="inlineStr">
        <is>
          <t>Slider — Financing</t>
        </is>
      </c>
    </row>
    <row r="7" ht="15" customHeight="1" s="41">
      <c r="A7" s="46" t="inlineStr">
        <is>
          <t>Loan term</t>
        </is>
      </c>
      <c r="B7" s="51" t="n">
        <v>25</v>
      </c>
      <c r="C7" s="43" t="inlineStr">
        <is>
          <t>years</t>
        </is>
      </c>
      <c r="D7" s="84" t="inlineStr">
        <is>
          <t>Slider — Financing</t>
        </is>
      </c>
    </row>
    <row r="8" ht="15" customHeight="1" s="41">
      <c r="A8" s="46" t="inlineStr">
        <is>
          <t>LTV (debt/net cost)</t>
        </is>
      </c>
      <c r="B8" s="49" t="n">
        <v>0.4</v>
      </c>
      <c r="C8" s="43" t="n"/>
      <c r="D8" s="84" t="inlineStr">
        <is>
          <t>Slider — Financing</t>
        </is>
      </c>
    </row>
    <row r="9" ht="15" customHeight="1" s="41">
      <c r="A9" s="46" t="inlineStr">
        <is>
          <t>Grant share</t>
        </is>
      </c>
      <c r="B9" s="49" t="n">
        <v>0.2</v>
      </c>
      <c r="C9" s="43" t="inlineStr">
        <is>
          <t>of CapEx</t>
        </is>
      </c>
      <c r="D9" s="84" t="inlineStr">
        <is>
          <t>Slider — Incentives &amp; Grants</t>
        </is>
      </c>
    </row>
    <row r="10" ht="15" customHeight="1" s="41">
      <c r="A10" s="46" t="inlineStr">
        <is>
          <t>Co-location shell factor</t>
        </is>
      </c>
      <c r="B10" s="49" t="n">
        <v>0.45</v>
      </c>
      <c r="C10" s="43" t="n"/>
      <c r="D10" s="84" t="inlineStr">
        <is>
          <t>Slider — Revenue &amp; Space</t>
        </is>
      </c>
    </row>
    <row r="11" ht="15" customHeight="1" s="41">
      <c r="A11" s="46" t="inlineStr">
        <is>
          <t>Min common space</t>
        </is>
      </c>
      <c r="B11" s="49" t="n">
        <v>0.12</v>
      </c>
      <c r="C11" s="43" t="inlineStr">
        <is>
          <t>floor</t>
        </is>
      </c>
      <c r="D11" s="84" t="inlineStr">
        <is>
          <t>Engine default (code) — not a user control</t>
        </is>
      </c>
    </row>
    <row r="12" ht="15" customHeight="1" s="41">
      <c r="A12" s="46" t="inlineStr">
        <is>
          <t>Carbon price</t>
        </is>
      </c>
      <c r="B12" s="52" t="n">
        <v>15</v>
      </c>
      <c r="C12" s="43" t="inlineStr">
        <is>
          <t>$/ton</t>
        </is>
      </c>
      <c r="D12" s="84" t="inlineStr">
        <is>
          <t>Slider — Commute &amp; Community Impact</t>
        </is>
      </c>
    </row>
    <row r="13" ht="15" customHeight="1" s="41">
      <c r="A13" s="46" t="inlineStr">
        <is>
          <t>CO2 per mile</t>
        </is>
      </c>
      <c r="B13" s="53" t="n">
        <v>0.000404</v>
      </c>
      <c r="C13" s="43" t="inlineStr">
        <is>
          <t>mt/mile (EPA)</t>
        </is>
      </c>
      <c r="D13" s="84" t="inlineStr">
        <is>
          <t>Fixed constant (EPA) here and in the Planner</t>
        </is>
      </c>
    </row>
    <row r="14" ht="15" customHeight="1" s="41">
      <c r="A14" s="46" t="inlineStr">
        <is>
          <t>Work days</t>
        </is>
      </c>
      <c r="B14" s="51" t="n">
        <v>240</v>
      </c>
      <c r="C14" s="43" t="inlineStr">
        <is>
          <t>per year</t>
        </is>
      </c>
      <c r="D14" s="84" t="inlineStr">
        <is>
          <t>Slider — Commute &amp; Community Impact</t>
        </is>
      </c>
    </row>
    <row r="15" ht="15" customHeight="1" s="41">
      <c r="A15" s="46" t="inlineStr">
        <is>
          <t>Hold / exit year</t>
        </is>
      </c>
      <c r="B15" s="51" t="n">
        <v>7</v>
      </c>
      <c r="C15" s="43" t="inlineStr">
        <is>
          <t>years</t>
        </is>
      </c>
      <c r="D15" s="84" t="inlineStr">
        <is>
          <t>Adjustable — Investor ▸ Aggregate Fund Ledger</t>
        </is>
      </c>
    </row>
    <row r="16" ht="15" customHeight="1" s="41">
      <c r="A16" s="46" t="inlineStr">
        <is>
          <t>Exit cap rate</t>
        </is>
      </c>
      <c r="B16" s="50" t="n">
        <v>0.065</v>
      </c>
      <c r="C16" s="43" t="n"/>
      <c r="D16" s="84" t="inlineStr">
        <is>
          <t>Adjustable — Investor ▸ Aggregate Fund Ledger</t>
        </is>
      </c>
    </row>
    <row r="17" ht="15" customHeight="1" s="41">
      <c r="A17" s="46" t="inlineStr">
        <is>
          <t>Network dual-use share</t>
        </is>
      </c>
      <c r="B17" s="49" t="n">
        <v>0.5</v>
      </c>
      <c r="C17" s="43" t="n"/>
      <c r="D17" s="84" t="inlineStr">
        <is>
          <t>Slider — Revenue &amp; Space (dual-use share)</t>
        </is>
      </c>
    </row>
    <row r="18" ht="15" customHeight="1" s="41">
      <c r="A18" s="46" t="inlineStr">
        <is>
          <t>Backbone route</t>
        </is>
      </c>
      <c r="B18" s="51" t="n">
        <v>556</v>
      </c>
      <c r="C18" s="47" t="inlineStr">
        <is>
          <t>miles — WORKING ROUTE ESTIMATE along planned inter-node corridors, pending carrier route engineering (FiberLight/Zayo); drives network CapEx and the per-worker access fee (pwf)</t>
        </is>
      </c>
      <c r="D18" s="84" t="inlineStr">
        <is>
          <t>Engine constant — working route estimate</t>
        </is>
      </c>
    </row>
    <row r="19" ht="15" customHeight="1" s="41">
      <c r="A19" s="46" t="inlineStr">
        <is>
          <t>Backbone build</t>
        </is>
      </c>
      <c r="B19" s="52" t="n">
        <v>60000</v>
      </c>
      <c r="C19" s="43" t="inlineStr">
        <is>
          <t>$/mile</t>
        </is>
      </c>
      <c r="D19" s="84" t="inlineStr">
        <is>
          <t>Engine constant</t>
        </is>
      </c>
    </row>
    <row r="20" ht="15" customHeight="1" s="41">
      <c r="A20" s="46" t="inlineStr">
        <is>
          <t>NOC CapEx</t>
        </is>
      </c>
      <c r="B20" s="52" t="n">
        <v>4500000</v>
      </c>
      <c r="C20" s="43" t="inlineStr">
        <is>
          <t>$</t>
        </is>
      </c>
      <c r="D20" s="84" t="inlineStr">
        <is>
          <t>Engine constant</t>
        </is>
      </c>
    </row>
    <row r="21" ht="15" customHeight="1" s="41">
      <c r="A21" s="46" t="inlineStr">
        <is>
          <t>Fiber maintenance</t>
        </is>
      </c>
      <c r="B21" s="49" t="n">
        <v>0.03</v>
      </c>
      <c r="C21" s="43" t="inlineStr">
        <is>
          <t>of backbone/yr</t>
        </is>
      </c>
      <c r="D21" s="84" t="inlineStr">
        <is>
          <t>Engine constant</t>
        </is>
      </c>
    </row>
    <row r="22" ht="15" customHeight="1" s="41">
      <c r="A22" s="46" t="inlineStr">
        <is>
          <t>NOC operations</t>
        </is>
      </c>
      <c r="B22" s="52" t="n">
        <v>3000000</v>
      </c>
      <c r="C22" s="43" t="inlineStr">
        <is>
          <t>$/yr</t>
        </is>
      </c>
      <c r="D22" s="84" t="inlineStr">
        <is>
          <t>Engine constant</t>
        </is>
      </c>
    </row>
    <row r="23" ht="15" customHeight="1" s="41">
      <c r="A23" s="46" t="inlineStr">
        <is>
          <t>Blended debt rate (edr)</t>
        </is>
      </c>
      <c r="B23" s="54">
        <f>Assumptions!$B$4*(1-Assumptions!$B$6)+Assumptions!$B$5*Assumptions!$B$6</f>
        <v/>
      </c>
      <c r="D23" s="84" t="inlineStr">
        <is>
          <t>Formula — same derivation as the engine</t>
        </is>
      </c>
    </row>
    <row r="24" ht="15" customHeight="1" s="41">
      <c r="A24" s="46" t="inlineStr">
        <is>
          <t>Debt-service factor</t>
        </is>
      </c>
      <c r="B24" s="55">
        <f>Assumptions!$B$23/(1-(1+Assumptions!$B$23)^-Assumptions!$B$7)</f>
        <v/>
      </c>
      <c r="D24" s="84" t="inlineStr">
        <is>
          <t>Formula — same derivation as the engine</t>
        </is>
      </c>
    </row>
    <row r="25" ht="15" customHeight="1" s="41">
      <c r="A25" s="46" t="inlineStr">
        <is>
          <t>Total enclaves</t>
        </is>
      </c>
      <c r="B25" s="56">
        <f>SUM('Per-Center'!$H$2:$H$26)</f>
        <v/>
      </c>
      <c r="D25" s="84" t="inlineStr">
        <is>
          <t>Formula — roster-driven</t>
        </is>
      </c>
    </row>
    <row r="26" ht="15" customHeight="1" s="41">
      <c r="A26" s="46" t="inlineStr">
        <is>
          <t>Network access / worker (pwf)</t>
        </is>
      </c>
      <c r="B26" s="57">
        <f>(Assumptions!$B$18*Assumptions!$B$19*Assumptions!$B$21+Assumptions!$B$22)*(1-Assumptions!$B$17)/Assumptions!$B$25</f>
        <v/>
      </c>
      <c r="D26" s="84" t="inlineStr">
        <is>
          <t>Formula — same derivation as the engine</t>
        </is>
      </c>
    </row>
    <row r="28" ht="42" customHeight="1" s="41">
      <c r="A28" s="45" t="inlineStr">
        <is>
          <t>Rent ladder (note)</t>
        </is>
      </c>
      <c r="B28" s="58" t="inlineStr">
        <is>
          <t>Per-seat rent resolves (v1.22): center override (final) → Area-type rate × tier premium → network default ("Enclave rent — network default" in the dashboard). Area types govern Planner centers; the network default prices the standard prototypes and drives the standalone Employer/Worker/Anchor/Community lenses.</t>
        </is>
      </c>
      <c r="D28" s="84" t="inlineStr">
        <is>
          <t>—</t>
        </is>
      </c>
    </row>
    <row r="29" ht="84.75" customHeight="1" s="41">
      <c r="A29" s="59" t="inlineStr">
        <is>
          <t>Building sponsorship</t>
        </is>
      </c>
      <c r="B29" s="60" t="n">
        <v>0</v>
      </c>
      <c r="C29" s="58" t="inlineStr">
        <is>
          <t>$/center/yr — SOFT revenue (naming rights / branded lab); negotiated, not guaranteed; default 0 keeps it out of the base case. Flows into every center NOI, Returns and the Fund Pro Forma. The dashboard additionally supports per-center sponsorship overrides (Explore-a-center Locality); this workbook models the global value only.</t>
        </is>
      </c>
      <c r="D29" s="84" t="inlineStr">
        <is>
          <t>Adjustable — global + per-center in Explore a center</t>
        </is>
      </c>
    </row>
    <row r="30" ht="15" customHeight="1" s="41">
      <c r="A30" s="40" t="inlineStr">
        <is>
          <t>Building efficiency</t>
        </is>
      </c>
      <c r="B30" s="40" t="n">
        <v>0.9</v>
      </c>
      <c r="C30" s="40" t="inlineStr">
        <is>
          <t>usable / gross (Enclave+Program+Common+Utility); default per tier</t>
        </is>
      </c>
      <c r="D30" s="84" t="inlineStr">
        <is>
          <t>Per-tier — Build editor (space model)</t>
        </is>
      </c>
    </row>
    <row r="31" ht="15" customHeight="1" s="41">
      <c r="A31" s="40" t="inlineStr">
        <is>
          <t>Utility share (resilience core)</t>
        </is>
      </c>
      <c r="B31" s="40" t="n">
        <v>0.06</v>
      </c>
      <c r="C31" s="40" t="inlineStr">
        <is>
          <t>per tier — microgrid/NOC/quantum-safe key management/MEP; also drives resilience CapEx premium</t>
        </is>
      </c>
      <c r="D31" s="84" t="inlineStr">
        <is>
          <t>Per-tier — Build editor (space model)</t>
        </is>
      </c>
    </row>
    <row r="32" ht="15" customHeight="1" s="41">
      <c r="A32" s="40" t="inlineStr">
        <is>
          <t>Common share</t>
        </is>
      </c>
      <c r="B32" s="40" t="n">
        <v>0.08</v>
      </c>
      <c r="C32" s="40" t="inlineStr">
        <is>
          <t>per tier — amenities, gathering, circulation</t>
        </is>
      </c>
      <c r="D32" s="84" t="inlineStr">
        <is>
          <t>Per-tier — Build editor (space model)</t>
        </is>
      </c>
    </row>
    <row r="33" ht="15" customHeight="1" s="41">
      <c r="A33" s="40" t="inlineStr">
        <is>
          <t>Structural vacancy</t>
        </is>
      </c>
      <c r="B33" s="40" t="n">
        <v>0.05</v>
      </c>
      <c r="C33" s="40" t="inlineStr">
        <is>
          <t>base-case seat vacancy allowance</t>
        </is>
      </c>
      <c r="D33" s="84" t="inlineStr">
        <is>
          <t>Engine default (code) — not a user control</t>
        </is>
      </c>
    </row>
    <row r="34" ht="15" customHeight="1" s="41">
      <c r="A34" s="40" t="inlineStr">
        <is>
          <t>Enclave rent — network default</t>
        </is>
      </c>
      <c r="B34" s="40" t="n">
        <v>9900</v>
      </c>
      <c r="C34" s="40" t="inlineStr">
        <is>
          <t>$/seat/yr ($825/mo). Bands: Urban 11100 / Suburban 9900 / Exurban 8700 / Rural 7800</t>
        </is>
      </c>
      <c r="D34" s="84" t="inlineStr">
        <is>
          <t>Slider — Revenue &amp; Space (network-wide scalar, v1.20)</t>
        </is>
      </c>
    </row>
    <row r="35" ht="15" customHeight="1" s="41">
      <c r="A35" s="40" t="inlineStr">
        <is>
          <t>Tier rent multiplier</t>
        </is>
      </c>
      <c r="B35" s="40" t="n">
        <v>1</v>
      </c>
      <c r="C35" s="40" t="inlineStr">
        <is>
          <t>per-tier premium on the Area-type / network-default seat rate</t>
        </is>
      </c>
      <c r="D35" s="84" t="inlineStr">
        <is>
          <t>Per-tier — Build editor</t>
        </is>
      </c>
    </row>
    <row r="36" ht="15" customHeight="1" s="41">
      <c r="A36" s="40" t="inlineStr">
        <is>
          <t>Space model note</t>
        </is>
      </c>
      <c r="B36" s="40" t="inlineStr">
        <is>
          <t>five-bucket</t>
        </is>
      </c>
      <c r="C36" s="40" t="inlineStr">
        <is>
          <t>Enclave+Program+Common+Utility+Unusable = gross; Enclave &amp; Unusable derived (v1.4)</t>
        </is>
      </c>
      <c r="D36" s="84" t="inlineStr">
        <is>
          <t>—</t>
        </is>
      </c>
    </row>
    <row r="37">
      <c r="A37" s="40" t="inlineStr">
        <is>
          <t>Tech reserve on/off</t>
        </is>
      </c>
      <c r="B37" s="61" t="n">
        <v>0</v>
      </c>
      <c r="C37" s="40" t="inlineStr">
        <is>
          <t>v1.20 · 0=off (base case) / 1=funded — opt-in tech replenishment reserve; PROVISIONAL shares/periods pending equipment quotes</t>
        </is>
      </c>
      <c r="D37" s="84" t="inlineStr">
        <is>
          <t>Slider — Financing (v1.20, default OFF)</t>
        </is>
      </c>
    </row>
    <row r="38">
      <c r="A38" s="40" t="inlineStr">
        <is>
          <t>Tech reserve — Edge share</t>
        </is>
      </c>
      <c r="B38" s="61" t="n">
        <v>0.45</v>
      </c>
      <c r="C38" s="40" t="inlineStr">
        <is>
          <t>of tech CapEx (compute/GPU/storage) — provisional</t>
        </is>
      </c>
      <c r="D38" s="84" t="inlineStr">
        <is>
          <t>Slider — Financing (v1.20)</t>
        </is>
      </c>
    </row>
    <row r="39">
      <c r="A39" s="40" t="inlineStr">
        <is>
          <t>Tech reserve — Edge refresh</t>
        </is>
      </c>
      <c r="B39" s="61" t="n">
        <v>5</v>
      </c>
      <c r="C39" s="40" t="inlineStr">
        <is>
          <t>years — provisional</t>
        </is>
      </c>
      <c r="D39" s="84" t="inlineStr">
        <is>
          <t>Slider — Financing (v1.20)</t>
        </is>
      </c>
    </row>
    <row r="40">
      <c r="A40" s="40" t="inlineStr">
        <is>
          <t>Tech reserve — Network share</t>
        </is>
      </c>
      <c r="B40" s="61" t="n">
        <v>0.3</v>
      </c>
      <c r="C40" s="40" t="inlineStr">
        <is>
          <t>of tech CapEx (switching/optical/quantum-safe key management; passive fiber excluded) — provisional</t>
        </is>
      </c>
      <c r="D40" s="84" t="inlineStr">
        <is>
          <t>Slider — Financing (v1.20)</t>
        </is>
      </c>
    </row>
    <row r="41">
      <c r="A41" s="40" t="inlineStr">
        <is>
          <t>Tech reserve — Network refresh</t>
        </is>
      </c>
      <c r="B41" s="61" t="n">
        <v>8</v>
      </c>
      <c r="C41" s="40" t="inlineStr">
        <is>
          <t>years — provisional</t>
        </is>
      </c>
      <c r="D41" s="84" t="inlineStr">
        <is>
          <t>Slider — Financing (v1.20)</t>
        </is>
      </c>
    </row>
    <row r="42">
      <c r="A42" s="40" t="inlineStr">
        <is>
          <t>Tech reserve — Power share</t>
        </is>
      </c>
      <c r="B42" s="61" t="n">
        <v>0.25</v>
      </c>
      <c r="C42" s="40" t="inlineStr">
        <is>
          <t>of tech CapEx (microgrid controls/inverters/BESS) — provisional</t>
        </is>
      </c>
      <c r="D42" s="84" t="inlineStr">
        <is>
          <t>Slider — Financing (v1.20)</t>
        </is>
      </c>
    </row>
    <row r="43">
      <c r="A43" s="40" t="inlineStr">
        <is>
          <t>Tech reserve — Power refresh</t>
        </is>
      </c>
      <c r="B43" s="61" t="n">
        <v>12</v>
      </c>
      <c r="C43" s="40" t="inlineStr">
        <is>
          <t>years — provisional</t>
        </is>
      </c>
      <c r="D43" s="84" t="inlineStr">
        <is>
          <t>Slider — Financing (v1.20)</t>
        </is>
      </c>
    </row>
    <row r="44">
      <c r="A44" s="40" t="inlineStr">
        <is>
          <t>Blended reserve rate</t>
        </is>
      </c>
      <c r="B44" s="40">
        <f>Assumptions!$B$38/Assumptions!$B$39+Assumptions!$B$40/Assumptions!$B$41+Assumptions!$B$42/Assumptions!$B$43</f>
        <v/>
      </c>
      <c r="C44" s="40" t="inlineStr">
        <is>
          <t>of tech CapEx/yr (≈14.8% at defaults)</t>
        </is>
      </c>
      <c r="D44" s="84" t="inlineStr">
        <is>
          <t>Formula — matches the engine blended rate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AU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3" customWidth="1" style="40" min="1" max="1"/>
    <col width="10.51" customWidth="1" style="40" min="2" max="42"/>
  </cols>
  <sheetData>
    <row r="1" ht="30" customHeight="1" s="41">
      <c r="A1" s="48" t="inlineStr">
        <is>
          <t>Name</t>
        </is>
      </c>
      <c r="B1" s="48" t="inlineStr">
        <is>
          <t>County</t>
        </is>
      </c>
      <c r="C1" s="48" t="inlineStr">
        <is>
          <t>Tier</t>
        </is>
      </c>
      <c r="D1" s="48" t="inlineStr">
        <is>
          <t>Role</t>
        </is>
      </c>
      <c r="E1" s="48" t="inlineStr">
        <is>
          <t>Host</t>
        </is>
      </c>
      <c r="F1" s="48" t="inlineStr">
        <is>
          <t>NOC</t>
        </is>
      </c>
      <c r="G1" s="48" t="inlineStr">
        <is>
          <t>Deploy</t>
        </is>
      </c>
      <c r="H1" s="48" t="inlineStr">
        <is>
          <t>Workers</t>
        </is>
      </c>
      <c r="I1" s="48" t="inlineStr">
        <is>
          <t>SF/encl</t>
        </is>
      </c>
      <c r="J1" s="48" t="inlineStr">
        <is>
          <t>EnclPct</t>
        </is>
      </c>
      <c r="K1" s="48" t="inlineStr">
        <is>
          <t>ProgPct</t>
        </is>
      </c>
      <c r="L1" s="48" t="inlineStr">
        <is>
          <t>CostPerSF</t>
        </is>
      </c>
      <c r="M1" s="48" t="inlineStr">
        <is>
          <t>Uplift</t>
        </is>
      </c>
      <c r="N1" s="48" t="inlineStr">
        <is>
          <t>Contract</t>
        </is>
      </c>
      <c r="O1" s="48" t="inlineStr">
        <is>
          <t>Yield $/yr</t>
        </is>
      </c>
      <c r="P1" s="48" t="inlineStr">
        <is>
          <t>OPEX/SF</t>
        </is>
      </c>
      <c r="Q1" s="48" t="inlineStr">
        <is>
          <t>Commute mi (round trip/day)</t>
        </is>
      </c>
      <c r="R1" s="48" t="inlineStr">
        <is>
          <t>JobGrant/wkr</t>
        </is>
      </c>
      <c r="S1" s="48" t="inlineStr">
        <is>
          <t>TaxAbate%</t>
        </is>
      </c>
      <c r="T1" s="48" t="inlineStr">
        <is>
          <t>Enclave SF</t>
        </is>
      </c>
      <c r="U1" s="48" t="inlineStr">
        <is>
          <t>Gross SF</t>
        </is>
      </c>
      <c r="V1" s="48" t="inlineStr">
        <is>
          <t>Program SF</t>
        </is>
      </c>
      <c r="W1" s="48" t="inlineStr">
        <is>
          <t>Usable SF</t>
        </is>
      </c>
      <c r="X1" s="48" t="inlineStr">
        <is>
          <t>Common SF</t>
        </is>
      </c>
      <c r="Y1" s="48" t="inlineStr">
        <is>
          <t>Eff</t>
        </is>
      </c>
      <c r="Z1" s="48" t="inlineStr">
        <is>
          <t>Anchor rev</t>
        </is>
      </c>
      <c r="AA1" s="48" t="inlineStr">
        <is>
          <t>Shell cost</t>
        </is>
      </c>
      <c r="AB1" s="48" t="inlineStr">
        <is>
          <t>CapEx</t>
        </is>
      </c>
      <c r="AC1" s="48" t="inlineStr">
        <is>
          <t>Total rev</t>
        </is>
      </c>
      <c r="AD1" s="48" t="inlineStr">
        <is>
          <t>Fac OPEX</t>
        </is>
      </c>
      <c r="AE1" s="48" t="inlineStr">
        <is>
          <t>Tech OPEX</t>
        </is>
      </c>
      <c r="AF1" s="48" t="inlineStr">
        <is>
          <t>Access fee</t>
        </is>
      </c>
      <c r="AG1" s="48" t="inlineStr">
        <is>
          <t>Job grant $</t>
        </is>
      </c>
      <c r="AH1" s="48" t="inlineStr">
        <is>
          <t>Tax abate $</t>
        </is>
      </c>
      <c r="AI1" s="48" t="inlineStr">
        <is>
          <t>Carbon cr</t>
        </is>
      </c>
      <c r="AJ1" s="48" t="inlineStr">
        <is>
          <t>NOI</t>
        </is>
      </c>
      <c r="AK1" s="48" t="inlineStr">
        <is>
          <t>Debt svc</t>
        </is>
      </c>
      <c r="AL1" s="48" t="inlineStr">
        <is>
          <t>DSCR</t>
        </is>
      </c>
      <c r="AM1" s="48" t="inlineStr">
        <is>
          <t>Yield</t>
        </is>
      </c>
      <c r="AN1" s="48" t="inlineStr">
        <is>
          <t>Grant $</t>
        </is>
      </c>
      <c r="AO1" s="48" t="inlineStr">
        <is>
          <t>Debt $</t>
        </is>
      </c>
      <c r="AP1" s="48" t="inlineStr">
        <is>
          <t>Equity $</t>
        </is>
      </c>
      <c r="AQ1" s="40" t="inlineStr">
        <is>
          <t>RE CapEx</t>
        </is>
      </c>
      <c r="AR1" s="40" t="inlineStr">
        <is>
          <t>Tech CapEx</t>
        </is>
      </c>
      <c r="AS1" s="40" t="inlineStr">
        <is>
          <t>Tech reserve/yr</t>
        </is>
      </c>
      <c r="AT1" s="40" t="inlineStr">
        <is>
          <t>DSCR w/ reserve</t>
        </is>
      </c>
      <c r="AU1" s="62" t="inlineStr">
        <is>
          <t>Note: AB = AQ + AR (identity); AS funded only when Assumptions B37 = 1</t>
        </is>
      </c>
    </row>
    <row r="2" ht="15" customHeight="1" s="41">
      <c r="A2" s="46" t="inlineStr">
        <is>
          <t>Austin</t>
        </is>
      </c>
      <c r="B2" s="46" t="inlineStr">
        <is>
          <t>Travis</t>
        </is>
      </c>
      <c r="C2" s="63" t="inlineStr">
        <is>
          <t>Core</t>
        </is>
      </c>
      <c r="D2" s="63" t="inlineStr">
        <is>
          <t>Importer</t>
        </is>
      </c>
      <c r="E2" s="60" t="inlineStr">
        <is>
          <t>Standalone</t>
        </is>
      </c>
      <c r="F2" s="64" t="inlineStr">
        <is>
          <t>◉</t>
        </is>
      </c>
      <c r="G2" s="51" t="n">
        <v>1</v>
      </c>
      <c r="H2" s="51" t="n">
        <v>525</v>
      </c>
      <c r="I2" s="51" t="n">
        <v>120</v>
      </c>
      <c r="J2" s="49" t="n">
        <v>0.62</v>
      </c>
      <c r="K2" s="49" t="n">
        <v>0.18</v>
      </c>
      <c r="L2" s="52" t="n">
        <v>350</v>
      </c>
      <c r="M2" s="52" t="n">
        <v>110</v>
      </c>
      <c r="N2" s="52" t="n">
        <v>1500000</v>
      </c>
      <c r="O2" s="52" t="n">
        <v>11100</v>
      </c>
      <c r="P2" s="52" t="n">
        <v>34</v>
      </c>
      <c r="Q2" s="60" t="n">
        <v>25</v>
      </c>
      <c r="R2" s="52" t="n">
        <v>590</v>
      </c>
      <c r="S2" s="50" t="n">
        <v>0.003</v>
      </c>
      <c r="T2" s="65">
        <f>H2*I2</f>
        <v/>
      </c>
      <c r="U2" s="56">
        <f>MAX(T2/J2,T2/(1-K2-Assumptions!$B$11))</f>
        <v/>
      </c>
      <c r="V2" s="65">
        <f>K2*U2</f>
        <v/>
      </c>
      <c r="W2" s="65">
        <f>T2+V2</f>
        <v/>
      </c>
      <c r="X2" s="65">
        <f>U2-W2</f>
        <v/>
      </c>
      <c r="Y2" s="66">
        <f>W2/U2</f>
        <v/>
      </c>
      <c r="Z2" s="57">
        <f>INDEX(Hosts!$B$2:$B$6,MATCH(E2,Hosts!$A$2:$A$6,0))</f>
        <v/>
      </c>
      <c r="AA2" s="57">
        <f>L2*IF(E2="Standalone",1,Assumptions!$B$10)*(1+Assumptions!$B$2)</f>
        <v/>
      </c>
      <c r="AB2" s="67">
        <f>U2*(AA2+M2)</f>
        <v/>
      </c>
      <c r="AC2" s="67">
        <f>H2*O2*(1-Assumptions!$B$33)+N2+Z2</f>
        <v/>
      </c>
      <c r="AD2" s="57">
        <f>U2*P2*(1+Assumptions!$B$2)</f>
        <v/>
      </c>
      <c r="AE2" s="57">
        <f>U2*M2*Assumptions!$B$3</f>
        <v/>
      </c>
      <c r="AF2" s="57">
        <f>H2*Assumptions!$B$26</f>
        <v/>
      </c>
      <c r="AG2" s="67">
        <f>H2*R2</f>
        <v/>
      </c>
      <c r="AH2" s="67">
        <f>AB2*S2</f>
        <v/>
      </c>
      <c r="AI2" s="57">
        <f>H2*Q2*Assumptions!$B$14*Assumptions!$B$13*Assumptions!$B$12</f>
        <v/>
      </c>
      <c r="AJ2" s="67">
        <f>AC2-AD2-AE2-AS2-AF2+AG2+AH2+AI2+Assumptions!$B$29</f>
        <v/>
      </c>
      <c r="AK2" s="57">
        <f>Assumptions!$B$8*AB2*(1-Assumptions!$B$9)*Assumptions!$B$24</f>
        <v/>
      </c>
      <c r="AL2" s="68">
        <f>AJ2/AK2</f>
        <v/>
      </c>
      <c r="AM2" s="66">
        <f>AJ2/AB2</f>
        <v/>
      </c>
      <c r="AN2" s="57">
        <f>AB2*Assumptions!$B$9</f>
        <v/>
      </c>
      <c r="AO2" s="57">
        <f>Assumptions!$B$8*AB2*(1-Assumptions!$B$9)</f>
        <v/>
      </c>
      <c r="AP2" s="67">
        <f>AB2-AN2-AO2</f>
        <v/>
      </c>
      <c r="AQ2" s="40">
        <f>U2*AA2</f>
        <v/>
      </c>
      <c r="AR2" s="40">
        <f>U2*M2</f>
        <v/>
      </c>
      <c r="AS2" s="40">
        <f>AR2*Assumptions!$B$44*Assumptions!$B$37</f>
        <v/>
      </c>
      <c r="AT2" s="40">
        <f>(AJ2-AR2*Assumptions!$B$44)/AK2</f>
        <v/>
      </c>
    </row>
    <row r="3" ht="15" customHeight="1" s="41">
      <c r="A3" s="46" t="inlineStr">
        <is>
          <t>Round Rock</t>
        </is>
      </c>
      <c r="B3" s="46" t="inlineStr">
        <is>
          <t>Williamson</t>
        </is>
      </c>
      <c r="C3" s="63" t="inlineStr">
        <is>
          <t>Core</t>
        </is>
      </c>
      <c r="D3" s="63" t="inlineStr">
        <is>
          <t>Ring</t>
        </is>
      </c>
      <c r="E3" s="60" t="inlineStr">
        <is>
          <t>C</t>
        </is>
      </c>
      <c r="F3" s="64" t="inlineStr">
        <is>
          <t>◉</t>
        </is>
      </c>
      <c r="G3" s="51" t="n">
        <v>1</v>
      </c>
      <c r="H3" s="51" t="n">
        <v>525</v>
      </c>
      <c r="I3" s="51" t="n">
        <v>120</v>
      </c>
      <c r="J3" s="49" t="n">
        <v>0.62</v>
      </c>
      <c r="K3" s="49" t="n">
        <v>0.18</v>
      </c>
      <c r="L3" s="52" t="n">
        <v>350</v>
      </c>
      <c r="M3" s="52" t="n">
        <v>110</v>
      </c>
      <c r="N3" s="52" t="n">
        <v>1500000</v>
      </c>
      <c r="O3" s="52" t="n">
        <v>9900</v>
      </c>
      <c r="P3" s="52" t="n">
        <v>30</v>
      </c>
      <c r="Q3" s="60" t="n">
        <v>40</v>
      </c>
      <c r="R3" s="52" t="n">
        <v>590</v>
      </c>
      <c r="S3" s="50" t="n">
        <v>0.003</v>
      </c>
      <c r="T3" s="65">
        <f>H3*I3</f>
        <v/>
      </c>
      <c r="U3" s="56">
        <f>MAX(T3/J3,T3/(1-K3-Assumptions!$B$11))</f>
        <v/>
      </c>
      <c r="V3" s="65">
        <f>K3*U3</f>
        <v/>
      </c>
      <c r="W3" s="65">
        <f>T3+V3</f>
        <v/>
      </c>
      <c r="X3" s="65">
        <f>U3-W3</f>
        <v/>
      </c>
      <c r="Y3" s="66">
        <f>W3/U3</f>
        <v/>
      </c>
      <c r="Z3" s="57">
        <f>INDEX(Hosts!$B$2:$B$6,MATCH(E3,Hosts!$A$2:$A$6,0))</f>
        <v/>
      </c>
      <c r="AA3" s="57">
        <f>L3*IF(E3="Standalone",1,Assumptions!$B$10)*(1+Assumptions!$B$2)</f>
        <v/>
      </c>
      <c r="AB3" s="67">
        <f>U3*(AA3+M3)</f>
        <v/>
      </c>
      <c r="AC3" s="67">
        <f>H3*O3*(1-Assumptions!$B$33)+N3+Z3</f>
        <v/>
      </c>
      <c r="AD3" s="57">
        <f>U3*P3*(1+Assumptions!$B$2)</f>
        <v/>
      </c>
      <c r="AE3" s="57">
        <f>U3*M3*Assumptions!$B$3</f>
        <v/>
      </c>
      <c r="AF3" s="57">
        <f>H3*Assumptions!$B$26</f>
        <v/>
      </c>
      <c r="AG3" s="67">
        <f>H3*R3</f>
        <v/>
      </c>
      <c r="AH3" s="67">
        <f>AB3*S3</f>
        <v/>
      </c>
      <c r="AI3" s="57">
        <f>H3*Q3*Assumptions!$B$14*Assumptions!$B$13*Assumptions!$B$12</f>
        <v/>
      </c>
      <c r="AJ3" s="67">
        <f>AC3-AD3-AE3-AS3-AF3+AG3+AH3+AI3+Assumptions!$B$29</f>
        <v/>
      </c>
      <c r="AK3" s="57">
        <f>Assumptions!$B$8*AB3*(1-Assumptions!$B$9)*Assumptions!$B$24</f>
        <v/>
      </c>
      <c r="AL3" s="68">
        <f>AJ3/AK3</f>
        <v/>
      </c>
      <c r="AM3" s="66">
        <f>AJ3/AB3</f>
        <v/>
      </c>
      <c r="AN3" s="57">
        <f>AB3*Assumptions!$B$9</f>
        <v/>
      </c>
      <c r="AO3" s="57">
        <f>Assumptions!$B$8*AB3*(1-Assumptions!$B$9)</f>
        <v/>
      </c>
      <c r="AP3" s="67">
        <f>AB3-AN3-AO3</f>
        <v/>
      </c>
      <c r="AQ3" s="40">
        <f>U3*AA3</f>
        <v/>
      </c>
      <c r="AR3" s="40">
        <f>U3*M3</f>
        <v/>
      </c>
      <c r="AS3" s="40">
        <f>AR3*Assumptions!$B$44*Assumptions!$B$37</f>
        <v/>
      </c>
      <c r="AT3" s="40">
        <f>(AJ3-AR3*Assumptions!$B$44)/AK3</f>
        <v/>
      </c>
    </row>
    <row r="4" ht="15" customHeight="1" s="41">
      <c r="A4" s="46" t="inlineStr">
        <is>
          <t>Killeen</t>
        </is>
      </c>
      <c r="B4" s="46" t="inlineStr">
        <is>
          <t>Bell</t>
        </is>
      </c>
      <c r="C4" s="63" t="inlineStr">
        <is>
          <t>Core</t>
        </is>
      </c>
      <c r="D4" s="63" t="inlineStr">
        <is>
          <t>Anchor</t>
        </is>
      </c>
      <c r="E4" s="60" t="inlineStr">
        <is>
          <t>G</t>
        </is>
      </c>
      <c r="F4" s="64" t="n"/>
      <c r="G4" s="51" t="n">
        <v>2</v>
      </c>
      <c r="H4" s="51" t="n">
        <v>525</v>
      </c>
      <c r="I4" s="51" t="n">
        <v>120</v>
      </c>
      <c r="J4" s="49" t="n">
        <v>0.62</v>
      </c>
      <c r="K4" s="49" t="n">
        <v>0.18</v>
      </c>
      <c r="L4" s="52" t="n">
        <v>350</v>
      </c>
      <c r="M4" s="52" t="n">
        <v>110</v>
      </c>
      <c r="N4" s="52" t="n">
        <v>1500000</v>
      </c>
      <c r="O4" s="52" t="n">
        <v>11100</v>
      </c>
      <c r="P4" s="52" t="n">
        <v>34</v>
      </c>
      <c r="Q4" s="60" t="n">
        <v>25</v>
      </c>
      <c r="R4" s="52" t="n">
        <v>590</v>
      </c>
      <c r="S4" s="50" t="n">
        <v>0.003</v>
      </c>
      <c r="T4" s="65">
        <f>H4*I4</f>
        <v/>
      </c>
      <c r="U4" s="56">
        <f>MAX(T4/J4,T4/(1-K4-Assumptions!$B$11))</f>
        <v/>
      </c>
      <c r="V4" s="65">
        <f>K4*U4</f>
        <v/>
      </c>
      <c r="W4" s="65">
        <f>T4+V4</f>
        <v/>
      </c>
      <c r="X4" s="65">
        <f>U4-W4</f>
        <v/>
      </c>
      <c r="Y4" s="66">
        <f>W4/U4</f>
        <v/>
      </c>
      <c r="Z4" s="57">
        <f>INDEX(Hosts!$B$2:$B$6,MATCH(E4,Hosts!$A$2:$A$6,0))</f>
        <v/>
      </c>
      <c r="AA4" s="57">
        <f>L4*IF(E4="Standalone",1,Assumptions!$B$10)*(1+Assumptions!$B$2)</f>
        <v/>
      </c>
      <c r="AB4" s="67">
        <f>U4*(AA4+M4)</f>
        <v/>
      </c>
      <c r="AC4" s="67">
        <f>H4*O4*(1-Assumptions!$B$33)+N4+Z4</f>
        <v/>
      </c>
      <c r="AD4" s="57">
        <f>U4*P4*(1+Assumptions!$B$2)</f>
        <v/>
      </c>
      <c r="AE4" s="57">
        <f>U4*M4*Assumptions!$B$3</f>
        <v/>
      </c>
      <c r="AF4" s="57">
        <f>H4*Assumptions!$B$26</f>
        <v/>
      </c>
      <c r="AG4" s="67">
        <f>H4*R4</f>
        <v/>
      </c>
      <c r="AH4" s="67">
        <f>AB4*S4</f>
        <v/>
      </c>
      <c r="AI4" s="57">
        <f>H4*Q4*Assumptions!$B$14*Assumptions!$B$13*Assumptions!$B$12</f>
        <v/>
      </c>
      <c r="AJ4" s="67">
        <f>AC4-AD4-AE4-AS4-AF4+AG4+AH4+AI4+Assumptions!$B$29</f>
        <v/>
      </c>
      <c r="AK4" s="57">
        <f>Assumptions!$B$8*AB4*(1-Assumptions!$B$9)*Assumptions!$B$24</f>
        <v/>
      </c>
      <c r="AL4" s="68">
        <f>AJ4/AK4</f>
        <v/>
      </c>
      <c r="AM4" s="66">
        <f>AJ4/AB4</f>
        <v/>
      </c>
      <c r="AN4" s="57">
        <f>AB4*Assumptions!$B$9</f>
        <v/>
      </c>
      <c r="AO4" s="57">
        <f>Assumptions!$B$8*AB4*(1-Assumptions!$B$9)</f>
        <v/>
      </c>
      <c r="AP4" s="67">
        <f>AB4-AN4-AO4</f>
        <v/>
      </c>
      <c r="AQ4" s="40">
        <f>U4*AA4</f>
        <v/>
      </c>
      <c r="AR4" s="40">
        <f>U4*M4</f>
        <v/>
      </c>
      <c r="AS4" s="40">
        <f>AR4*Assumptions!$B$44*Assumptions!$B$37</f>
        <v/>
      </c>
      <c r="AT4" s="40">
        <f>(AJ4-AR4*Assumptions!$B$44)/AK4</f>
        <v/>
      </c>
    </row>
    <row r="5" ht="15" customHeight="1" s="41">
      <c r="A5" s="46" t="inlineStr">
        <is>
          <t>Temple</t>
        </is>
      </c>
      <c r="B5" s="46" t="inlineStr">
        <is>
          <t>Bell</t>
        </is>
      </c>
      <c r="C5" s="63" t="inlineStr">
        <is>
          <t>Core</t>
        </is>
      </c>
      <c r="D5" s="63" t="inlineStr">
        <is>
          <t>Anchor</t>
        </is>
      </c>
      <c r="E5" s="60" t="inlineStr">
        <is>
          <t>HC</t>
        </is>
      </c>
      <c r="F5" s="64" t="n"/>
      <c r="G5" s="51" t="n">
        <v>3</v>
      </c>
      <c r="H5" s="51" t="n">
        <v>525</v>
      </c>
      <c r="I5" s="51" t="n">
        <v>120</v>
      </c>
      <c r="J5" s="49" t="n">
        <v>0.62</v>
      </c>
      <c r="K5" s="49" t="n">
        <v>0.18</v>
      </c>
      <c r="L5" s="52" t="n">
        <v>350</v>
      </c>
      <c r="M5" s="52" t="n">
        <v>110</v>
      </c>
      <c r="N5" s="52" t="n">
        <v>1500000</v>
      </c>
      <c r="O5" s="52" t="n">
        <v>9900</v>
      </c>
      <c r="P5" s="52" t="n">
        <v>30</v>
      </c>
      <c r="Q5" s="60" t="n">
        <v>40</v>
      </c>
      <c r="R5" s="52" t="n">
        <v>590</v>
      </c>
      <c r="S5" s="50" t="n">
        <v>0.003</v>
      </c>
      <c r="T5" s="65">
        <f>H5*I5</f>
        <v/>
      </c>
      <c r="U5" s="56">
        <f>MAX(T5/J5,T5/(1-K5-Assumptions!$B$11))</f>
        <v/>
      </c>
      <c r="V5" s="65">
        <f>K5*U5</f>
        <v/>
      </c>
      <c r="W5" s="65">
        <f>T5+V5</f>
        <v/>
      </c>
      <c r="X5" s="65">
        <f>U5-W5</f>
        <v/>
      </c>
      <c r="Y5" s="66">
        <f>W5/U5</f>
        <v/>
      </c>
      <c r="Z5" s="57">
        <f>INDEX(Hosts!$B$2:$B$6,MATCH(E5,Hosts!$A$2:$A$6,0))</f>
        <v/>
      </c>
      <c r="AA5" s="57">
        <f>L5*IF(E5="Standalone",1,Assumptions!$B$10)*(1+Assumptions!$B$2)</f>
        <v/>
      </c>
      <c r="AB5" s="67">
        <f>U5*(AA5+M5)</f>
        <v/>
      </c>
      <c r="AC5" s="67">
        <f>H5*O5*(1-Assumptions!$B$33)+N5+Z5</f>
        <v/>
      </c>
      <c r="AD5" s="57">
        <f>U5*P5*(1+Assumptions!$B$2)</f>
        <v/>
      </c>
      <c r="AE5" s="57">
        <f>U5*M5*Assumptions!$B$3</f>
        <v/>
      </c>
      <c r="AF5" s="57">
        <f>H5*Assumptions!$B$26</f>
        <v/>
      </c>
      <c r="AG5" s="67">
        <f>H5*R5</f>
        <v/>
      </c>
      <c r="AH5" s="67">
        <f>AB5*S5</f>
        <v/>
      </c>
      <c r="AI5" s="57">
        <f>H5*Q5*Assumptions!$B$14*Assumptions!$B$13*Assumptions!$B$12</f>
        <v/>
      </c>
      <c r="AJ5" s="67">
        <f>AC5-AD5-AE5-AS5-AF5+AG5+AH5+AI5+Assumptions!$B$29</f>
        <v/>
      </c>
      <c r="AK5" s="57">
        <f>Assumptions!$B$8*AB5*(1-Assumptions!$B$9)*Assumptions!$B$24</f>
        <v/>
      </c>
      <c r="AL5" s="68">
        <f>AJ5/AK5</f>
        <v/>
      </c>
      <c r="AM5" s="66">
        <f>AJ5/AB5</f>
        <v/>
      </c>
      <c r="AN5" s="57">
        <f>AB5*Assumptions!$B$9</f>
        <v/>
      </c>
      <c r="AO5" s="57">
        <f>Assumptions!$B$8*AB5*(1-Assumptions!$B$9)</f>
        <v/>
      </c>
      <c r="AP5" s="67">
        <f>AB5-AN5-AO5</f>
        <v/>
      </c>
      <c r="AQ5" s="40">
        <f>U5*AA5</f>
        <v/>
      </c>
      <c r="AR5" s="40">
        <f>U5*M5</f>
        <v/>
      </c>
      <c r="AS5" s="40">
        <f>AR5*Assumptions!$B$44*Assumptions!$B$37</f>
        <v/>
      </c>
      <c r="AT5" s="40">
        <f>(AJ5-AR5*Assumptions!$B$44)/AK5</f>
        <v/>
      </c>
    </row>
    <row r="6" ht="15" customHeight="1" s="41">
      <c r="A6" s="46" t="inlineStr">
        <is>
          <t>Waco</t>
        </is>
      </c>
      <c r="B6" s="46" t="inlineStr">
        <is>
          <t>McLennan</t>
        </is>
      </c>
      <c r="C6" s="63" t="inlineStr">
        <is>
          <t>Core</t>
        </is>
      </c>
      <c r="D6" s="63" t="inlineStr">
        <is>
          <t>Anchor</t>
        </is>
      </c>
      <c r="E6" s="60" t="inlineStr">
        <is>
          <t>A</t>
        </is>
      </c>
      <c r="F6" s="64" t="n"/>
      <c r="G6" s="51" t="n">
        <v>4</v>
      </c>
      <c r="H6" s="51" t="n">
        <v>525</v>
      </c>
      <c r="I6" s="51" t="n">
        <v>120</v>
      </c>
      <c r="J6" s="49" t="n">
        <v>0.62</v>
      </c>
      <c r="K6" s="49" t="n">
        <v>0.18</v>
      </c>
      <c r="L6" s="52" t="n">
        <v>350</v>
      </c>
      <c r="M6" s="52" t="n">
        <v>110</v>
      </c>
      <c r="N6" s="52" t="n">
        <v>1500000</v>
      </c>
      <c r="O6" s="52" t="n">
        <v>11100</v>
      </c>
      <c r="P6" s="52" t="n">
        <v>34</v>
      </c>
      <c r="Q6" s="60" t="n">
        <v>25</v>
      </c>
      <c r="R6" s="52" t="n">
        <v>590</v>
      </c>
      <c r="S6" s="50" t="n">
        <v>0.003</v>
      </c>
      <c r="T6" s="65">
        <f>H6*I6</f>
        <v/>
      </c>
      <c r="U6" s="56">
        <f>MAX(T6/J6,T6/(1-K6-Assumptions!$B$11))</f>
        <v/>
      </c>
      <c r="V6" s="65">
        <f>K6*U6</f>
        <v/>
      </c>
      <c r="W6" s="65">
        <f>T6+V6</f>
        <v/>
      </c>
      <c r="X6" s="65">
        <f>U6-W6</f>
        <v/>
      </c>
      <c r="Y6" s="66">
        <f>W6/U6</f>
        <v/>
      </c>
      <c r="Z6" s="57">
        <f>INDEX(Hosts!$B$2:$B$6,MATCH(E6,Hosts!$A$2:$A$6,0))</f>
        <v/>
      </c>
      <c r="AA6" s="57">
        <f>L6*IF(E6="Standalone",1,Assumptions!$B$10)*(1+Assumptions!$B$2)</f>
        <v/>
      </c>
      <c r="AB6" s="67">
        <f>U6*(AA6+M6)</f>
        <v/>
      </c>
      <c r="AC6" s="67">
        <f>H6*O6*(1-Assumptions!$B$33)+N6+Z6</f>
        <v/>
      </c>
      <c r="AD6" s="57">
        <f>U6*P6*(1+Assumptions!$B$2)</f>
        <v/>
      </c>
      <c r="AE6" s="57">
        <f>U6*M6*Assumptions!$B$3</f>
        <v/>
      </c>
      <c r="AF6" s="57">
        <f>H6*Assumptions!$B$26</f>
        <v/>
      </c>
      <c r="AG6" s="67">
        <f>H6*R6</f>
        <v/>
      </c>
      <c r="AH6" s="67">
        <f>AB6*S6</f>
        <v/>
      </c>
      <c r="AI6" s="57">
        <f>H6*Q6*Assumptions!$B$14*Assumptions!$B$13*Assumptions!$B$12</f>
        <v/>
      </c>
      <c r="AJ6" s="67">
        <f>AC6-AD6-AE6-AS6-AF6+AG6+AH6+AI6+Assumptions!$B$29</f>
        <v/>
      </c>
      <c r="AK6" s="57">
        <f>Assumptions!$B$8*AB6*(1-Assumptions!$B$9)*Assumptions!$B$24</f>
        <v/>
      </c>
      <c r="AL6" s="68">
        <f>AJ6/AK6</f>
        <v/>
      </c>
      <c r="AM6" s="66">
        <f>AJ6/AB6</f>
        <v/>
      </c>
      <c r="AN6" s="57">
        <f>AB6*Assumptions!$B$9</f>
        <v/>
      </c>
      <c r="AO6" s="57">
        <f>Assumptions!$B$8*AB6*(1-Assumptions!$B$9)</f>
        <v/>
      </c>
      <c r="AP6" s="67">
        <f>AB6-AN6-AO6</f>
        <v/>
      </c>
      <c r="AQ6" s="40">
        <f>U6*AA6</f>
        <v/>
      </c>
      <c r="AR6" s="40">
        <f>U6*M6</f>
        <v/>
      </c>
      <c r="AS6" s="40">
        <f>AR6*Assumptions!$B$44*Assumptions!$B$37</f>
        <v/>
      </c>
      <c r="AT6" s="40">
        <f>(AJ6-AR6*Assumptions!$B$44)/AK6</f>
        <v/>
      </c>
    </row>
    <row r="7" ht="15" customHeight="1" s="41">
      <c r="A7" s="46" t="inlineStr">
        <is>
          <t>Cedar Park</t>
        </is>
      </c>
      <c r="B7" s="46" t="inlineStr">
        <is>
          <t>Williamson</t>
        </is>
      </c>
      <c r="C7" s="63" t="inlineStr">
        <is>
          <t>Regional</t>
        </is>
      </c>
      <c r="D7" s="63" t="inlineStr">
        <is>
          <t>Ring</t>
        </is>
      </c>
      <c r="E7" s="60" t="inlineStr">
        <is>
          <t>Standalone</t>
        </is>
      </c>
      <c r="F7" s="64" t="n"/>
      <c r="G7" s="51" t="n">
        <v>2</v>
      </c>
      <c r="H7" s="51" t="n">
        <v>325</v>
      </c>
      <c r="I7" s="51" t="n">
        <v>110</v>
      </c>
      <c r="J7" s="49" t="n">
        <v>0.64</v>
      </c>
      <c r="K7" s="49" t="n">
        <v>0.14</v>
      </c>
      <c r="L7" s="52" t="n">
        <v>300</v>
      </c>
      <c r="M7" s="52" t="n">
        <v>85</v>
      </c>
      <c r="N7" s="52" t="n">
        <v>630000</v>
      </c>
      <c r="O7" s="52" t="n">
        <v>9900</v>
      </c>
      <c r="P7" s="52" t="n">
        <v>30</v>
      </c>
      <c r="Q7" s="60" t="n">
        <v>40</v>
      </c>
      <c r="R7" s="52" t="n">
        <v>590</v>
      </c>
      <c r="S7" s="50" t="n">
        <v>0.003</v>
      </c>
      <c r="T7" s="65">
        <f>H7*I7</f>
        <v/>
      </c>
      <c r="U7" s="56">
        <f>MAX(T7/J7,T7/(1-K7-Assumptions!$B$11))</f>
        <v/>
      </c>
      <c r="V7" s="65">
        <f>K7*U7</f>
        <v/>
      </c>
      <c r="W7" s="65">
        <f>T7+V7</f>
        <v/>
      </c>
      <c r="X7" s="65">
        <f>U7-W7</f>
        <v/>
      </c>
      <c r="Y7" s="66">
        <f>W7/U7</f>
        <v/>
      </c>
      <c r="Z7" s="57">
        <f>INDEX(Hosts!$B$2:$B$6,MATCH(E7,Hosts!$A$2:$A$6,0))</f>
        <v/>
      </c>
      <c r="AA7" s="57">
        <f>L7*IF(E7="Standalone",1,Assumptions!$B$10)*(1+Assumptions!$B$2)</f>
        <v/>
      </c>
      <c r="AB7" s="67">
        <f>U7*(AA7+M7)</f>
        <v/>
      </c>
      <c r="AC7" s="67">
        <f>H7*O7*(1-Assumptions!$B$33)+N7+Z7</f>
        <v/>
      </c>
      <c r="AD7" s="57">
        <f>U7*P7*(1+Assumptions!$B$2)</f>
        <v/>
      </c>
      <c r="AE7" s="57">
        <f>U7*M7*Assumptions!$B$3</f>
        <v/>
      </c>
      <c r="AF7" s="57">
        <f>H7*Assumptions!$B$26</f>
        <v/>
      </c>
      <c r="AG7" s="67">
        <f>H7*R7</f>
        <v/>
      </c>
      <c r="AH7" s="67">
        <f>AB7*S7</f>
        <v/>
      </c>
      <c r="AI7" s="57">
        <f>H7*Q7*Assumptions!$B$14*Assumptions!$B$13*Assumptions!$B$12</f>
        <v/>
      </c>
      <c r="AJ7" s="67">
        <f>AC7-AD7-AE7-AS7-AF7+AG7+AH7+AI7+Assumptions!$B$29</f>
        <v/>
      </c>
      <c r="AK7" s="57">
        <f>Assumptions!$B$8*AB7*(1-Assumptions!$B$9)*Assumptions!$B$24</f>
        <v/>
      </c>
      <c r="AL7" s="68">
        <f>AJ7/AK7</f>
        <v/>
      </c>
      <c r="AM7" s="66">
        <f>AJ7/AB7</f>
        <v/>
      </c>
      <c r="AN7" s="57">
        <f>AB7*Assumptions!$B$9</f>
        <v/>
      </c>
      <c r="AO7" s="57">
        <f>Assumptions!$B$8*AB7*(1-Assumptions!$B$9)</f>
        <v/>
      </c>
      <c r="AP7" s="67">
        <f>AB7-AN7-AO7</f>
        <v/>
      </c>
      <c r="AQ7" s="40">
        <f>U7*AA7</f>
        <v/>
      </c>
      <c r="AR7" s="40">
        <f>U7*M7</f>
        <v/>
      </c>
      <c r="AS7" s="40">
        <f>AR7*Assumptions!$B$44*Assumptions!$B$37</f>
        <v/>
      </c>
      <c r="AT7" s="40">
        <f>(AJ7-AR7*Assumptions!$B$44)/AK7</f>
        <v/>
      </c>
    </row>
    <row r="8" ht="15" customHeight="1" s="41">
      <c r="A8" s="46" t="inlineStr">
        <is>
          <t>Georgetown</t>
        </is>
      </c>
      <c r="B8" s="46" t="inlineStr">
        <is>
          <t>Williamson</t>
        </is>
      </c>
      <c r="C8" s="63" t="inlineStr">
        <is>
          <t>Regional</t>
        </is>
      </c>
      <c r="D8" s="63" t="inlineStr">
        <is>
          <t>Ring</t>
        </is>
      </c>
      <c r="E8" s="60" t="inlineStr">
        <is>
          <t>Standalone</t>
        </is>
      </c>
      <c r="F8" s="64" t="n"/>
      <c r="G8" s="51" t="n">
        <v>2</v>
      </c>
      <c r="H8" s="51" t="n">
        <v>325</v>
      </c>
      <c r="I8" s="51" t="n">
        <v>110</v>
      </c>
      <c r="J8" s="49" t="n">
        <v>0.64</v>
      </c>
      <c r="K8" s="49" t="n">
        <v>0.14</v>
      </c>
      <c r="L8" s="52" t="n">
        <v>300</v>
      </c>
      <c r="M8" s="52" t="n">
        <v>85</v>
      </c>
      <c r="N8" s="52" t="n">
        <v>630000</v>
      </c>
      <c r="O8" s="52" t="n">
        <v>9900</v>
      </c>
      <c r="P8" s="52" t="n">
        <v>30</v>
      </c>
      <c r="Q8" s="60" t="n">
        <v>40</v>
      </c>
      <c r="R8" s="52" t="n">
        <v>590</v>
      </c>
      <c r="S8" s="50" t="n">
        <v>0.003</v>
      </c>
      <c r="T8" s="65">
        <f>H8*I8</f>
        <v/>
      </c>
      <c r="U8" s="56">
        <f>MAX(T8/J8,T8/(1-K8-Assumptions!$B$11))</f>
        <v/>
      </c>
      <c r="V8" s="65">
        <f>K8*U8</f>
        <v/>
      </c>
      <c r="W8" s="65">
        <f>T8+V8</f>
        <v/>
      </c>
      <c r="X8" s="65">
        <f>U8-W8</f>
        <v/>
      </c>
      <c r="Y8" s="66">
        <f>W8/U8</f>
        <v/>
      </c>
      <c r="Z8" s="57">
        <f>INDEX(Hosts!$B$2:$B$6,MATCH(E8,Hosts!$A$2:$A$6,0))</f>
        <v/>
      </c>
      <c r="AA8" s="57">
        <f>L8*IF(E8="Standalone",1,Assumptions!$B$10)*(1+Assumptions!$B$2)</f>
        <v/>
      </c>
      <c r="AB8" s="67">
        <f>U8*(AA8+M8)</f>
        <v/>
      </c>
      <c r="AC8" s="67">
        <f>H8*O8*(1-Assumptions!$B$33)+N8+Z8</f>
        <v/>
      </c>
      <c r="AD8" s="57">
        <f>U8*P8*(1+Assumptions!$B$2)</f>
        <v/>
      </c>
      <c r="AE8" s="57">
        <f>U8*M8*Assumptions!$B$3</f>
        <v/>
      </c>
      <c r="AF8" s="57">
        <f>H8*Assumptions!$B$26</f>
        <v/>
      </c>
      <c r="AG8" s="67">
        <f>H8*R8</f>
        <v/>
      </c>
      <c r="AH8" s="67">
        <f>AB8*S8</f>
        <v/>
      </c>
      <c r="AI8" s="57">
        <f>H8*Q8*Assumptions!$B$14*Assumptions!$B$13*Assumptions!$B$12</f>
        <v/>
      </c>
      <c r="AJ8" s="67">
        <f>AC8-AD8-AE8-AS8-AF8+AG8+AH8+AI8+Assumptions!$B$29</f>
        <v/>
      </c>
      <c r="AK8" s="57">
        <f>Assumptions!$B$8*AB8*(1-Assumptions!$B$9)*Assumptions!$B$24</f>
        <v/>
      </c>
      <c r="AL8" s="68">
        <f>AJ8/AK8</f>
        <v/>
      </c>
      <c r="AM8" s="66">
        <f>AJ8/AB8</f>
        <v/>
      </c>
      <c r="AN8" s="57">
        <f>AB8*Assumptions!$B$9</f>
        <v/>
      </c>
      <c r="AO8" s="57">
        <f>Assumptions!$B$8*AB8*(1-Assumptions!$B$9)</f>
        <v/>
      </c>
      <c r="AP8" s="67">
        <f>AB8-AN8-AO8</f>
        <v/>
      </c>
      <c r="AQ8" s="40">
        <f>U8*AA8</f>
        <v/>
      </c>
      <c r="AR8" s="40">
        <f>U8*M8</f>
        <v/>
      </c>
      <c r="AS8" s="40">
        <f>AR8*Assumptions!$B$44*Assumptions!$B$37</f>
        <v/>
      </c>
      <c r="AT8" s="40">
        <f>(AJ8-AR8*Assumptions!$B$44)/AK8</f>
        <v/>
      </c>
    </row>
    <row r="9" ht="15" customHeight="1" s="41">
      <c r="A9" s="46" t="inlineStr">
        <is>
          <t>Leander</t>
        </is>
      </c>
      <c r="B9" s="46" t="inlineStr">
        <is>
          <t>Williamson</t>
        </is>
      </c>
      <c r="C9" s="63" t="inlineStr">
        <is>
          <t>Regional</t>
        </is>
      </c>
      <c r="D9" s="63" t="inlineStr">
        <is>
          <t>Ring</t>
        </is>
      </c>
      <c r="E9" s="60" t="inlineStr">
        <is>
          <t>Standalone</t>
        </is>
      </c>
      <c r="F9" s="64" t="n"/>
      <c r="G9" s="51" t="n">
        <v>3</v>
      </c>
      <c r="H9" s="51" t="n">
        <v>325</v>
      </c>
      <c r="I9" s="51" t="n">
        <v>110</v>
      </c>
      <c r="J9" s="49" t="n">
        <v>0.64</v>
      </c>
      <c r="K9" s="49" t="n">
        <v>0.14</v>
      </c>
      <c r="L9" s="52" t="n">
        <v>300</v>
      </c>
      <c r="M9" s="52" t="n">
        <v>85</v>
      </c>
      <c r="N9" s="52" t="n">
        <v>630000</v>
      </c>
      <c r="O9" s="52" t="n">
        <v>9900</v>
      </c>
      <c r="P9" s="52" t="n">
        <v>30</v>
      </c>
      <c r="Q9" s="60" t="n">
        <v>40</v>
      </c>
      <c r="R9" s="52" t="n">
        <v>590</v>
      </c>
      <c r="S9" s="50" t="n">
        <v>0.003</v>
      </c>
      <c r="T9" s="65">
        <f>H9*I9</f>
        <v/>
      </c>
      <c r="U9" s="56">
        <f>MAX(T9/J9,T9/(1-K9-Assumptions!$B$11))</f>
        <v/>
      </c>
      <c r="V9" s="65">
        <f>K9*U9</f>
        <v/>
      </c>
      <c r="W9" s="65">
        <f>T9+V9</f>
        <v/>
      </c>
      <c r="X9" s="65">
        <f>U9-W9</f>
        <v/>
      </c>
      <c r="Y9" s="66">
        <f>W9/U9</f>
        <v/>
      </c>
      <c r="Z9" s="57">
        <f>INDEX(Hosts!$B$2:$B$6,MATCH(E9,Hosts!$A$2:$A$6,0))</f>
        <v/>
      </c>
      <c r="AA9" s="57">
        <f>L9*IF(E9="Standalone",1,Assumptions!$B$10)*(1+Assumptions!$B$2)</f>
        <v/>
      </c>
      <c r="AB9" s="67">
        <f>U9*(AA9+M9)</f>
        <v/>
      </c>
      <c r="AC9" s="67">
        <f>H9*O9*(1-Assumptions!$B$33)+N9+Z9</f>
        <v/>
      </c>
      <c r="AD9" s="57">
        <f>U9*P9*(1+Assumptions!$B$2)</f>
        <v/>
      </c>
      <c r="AE9" s="57">
        <f>U9*M9*Assumptions!$B$3</f>
        <v/>
      </c>
      <c r="AF9" s="57">
        <f>H9*Assumptions!$B$26</f>
        <v/>
      </c>
      <c r="AG9" s="67">
        <f>H9*R9</f>
        <v/>
      </c>
      <c r="AH9" s="67">
        <f>AB9*S9</f>
        <v/>
      </c>
      <c r="AI9" s="57">
        <f>H9*Q9*Assumptions!$B$14*Assumptions!$B$13*Assumptions!$B$12</f>
        <v/>
      </c>
      <c r="AJ9" s="67">
        <f>AC9-AD9-AE9-AS9-AF9+AG9+AH9+AI9+Assumptions!$B$29</f>
        <v/>
      </c>
      <c r="AK9" s="57">
        <f>Assumptions!$B$8*AB9*(1-Assumptions!$B$9)*Assumptions!$B$24</f>
        <v/>
      </c>
      <c r="AL9" s="68">
        <f>AJ9/AK9</f>
        <v/>
      </c>
      <c r="AM9" s="66">
        <f>AJ9/AB9</f>
        <v/>
      </c>
      <c r="AN9" s="57">
        <f>AB9*Assumptions!$B$9</f>
        <v/>
      </c>
      <c r="AO9" s="57">
        <f>Assumptions!$B$8*AB9*(1-Assumptions!$B$9)</f>
        <v/>
      </c>
      <c r="AP9" s="67">
        <f>AB9-AN9-AO9</f>
        <v/>
      </c>
      <c r="AQ9" s="40">
        <f>U9*AA9</f>
        <v/>
      </c>
      <c r="AR9" s="40">
        <f>U9*M9</f>
        <v/>
      </c>
      <c r="AS9" s="40">
        <f>AR9*Assumptions!$B$44*Assumptions!$B$37</f>
        <v/>
      </c>
      <c r="AT9" s="40">
        <f>(AJ9-AR9*Assumptions!$B$44)/AK9</f>
        <v/>
      </c>
    </row>
    <row r="10" ht="15" customHeight="1" s="41">
      <c r="A10" s="46" t="inlineStr">
        <is>
          <t>Hutto</t>
        </is>
      </c>
      <c r="B10" s="46" t="inlineStr">
        <is>
          <t>Williamson</t>
        </is>
      </c>
      <c r="C10" s="63" t="inlineStr">
        <is>
          <t>Regional</t>
        </is>
      </c>
      <c r="D10" s="63" t="inlineStr">
        <is>
          <t>Ring</t>
        </is>
      </c>
      <c r="E10" s="60" t="inlineStr">
        <is>
          <t>Standalone</t>
        </is>
      </c>
      <c r="F10" s="64" t="n"/>
      <c r="G10" s="51" t="n">
        <v>4</v>
      </c>
      <c r="H10" s="51" t="n">
        <v>325</v>
      </c>
      <c r="I10" s="51" t="n">
        <v>110</v>
      </c>
      <c r="J10" s="49" t="n">
        <v>0.64</v>
      </c>
      <c r="K10" s="49" t="n">
        <v>0.14</v>
      </c>
      <c r="L10" s="52" t="n">
        <v>300</v>
      </c>
      <c r="M10" s="52" t="n">
        <v>85</v>
      </c>
      <c r="N10" s="52" t="n">
        <v>630000</v>
      </c>
      <c r="O10" s="52" t="n">
        <v>8700</v>
      </c>
      <c r="P10" s="52" t="n">
        <v>27</v>
      </c>
      <c r="Q10" s="60" t="n">
        <v>60</v>
      </c>
      <c r="R10" s="52" t="n">
        <v>590</v>
      </c>
      <c r="S10" s="50" t="n">
        <v>0.003</v>
      </c>
      <c r="T10" s="65">
        <f>H10*I10</f>
        <v/>
      </c>
      <c r="U10" s="56">
        <f>MAX(T10/J10,T10/(1-K10-Assumptions!$B$11))</f>
        <v/>
      </c>
      <c r="V10" s="65">
        <f>K10*U10</f>
        <v/>
      </c>
      <c r="W10" s="65">
        <f>T10+V10</f>
        <v/>
      </c>
      <c r="X10" s="65">
        <f>U10-W10</f>
        <v/>
      </c>
      <c r="Y10" s="66">
        <f>W10/U10</f>
        <v/>
      </c>
      <c r="Z10" s="57">
        <f>INDEX(Hosts!$B$2:$B$6,MATCH(E10,Hosts!$A$2:$A$6,0))</f>
        <v/>
      </c>
      <c r="AA10" s="57">
        <f>L10*IF(E10="Standalone",1,Assumptions!$B$10)*(1+Assumptions!$B$2)</f>
        <v/>
      </c>
      <c r="AB10" s="67">
        <f>U10*(AA10+M10)</f>
        <v/>
      </c>
      <c r="AC10" s="67">
        <f>H10*O10*(1-Assumptions!$B$33)+N10+Z10</f>
        <v/>
      </c>
      <c r="AD10" s="57">
        <f>U10*P10*(1+Assumptions!$B$2)</f>
        <v/>
      </c>
      <c r="AE10" s="57">
        <f>U10*M10*Assumptions!$B$3</f>
        <v/>
      </c>
      <c r="AF10" s="57">
        <f>H10*Assumptions!$B$26</f>
        <v/>
      </c>
      <c r="AG10" s="67">
        <f>H10*R10</f>
        <v/>
      </c>
      <c r="AH10" s="67">
        <f>AB10*S10</f>
        <v/>
      </c>
      <c r="AI10" s="57">
        <f>H10*Q10*Assumptions!$B$14*Assumptions!$B$13*Assumptions!$B$12</f>
        <v/>
      </c>
      <c r="AJ10" s="67">
        <f>AC10-AD10-AE10-AS10-AF10+AG10+AH10+AI10+Assumptions!$B$29</f>
        <v/>
      </c>
      <c r="AK10" s="57">
        <f>Assumptions!$B$8*AB10*(1-Assumptions!$B$9)*Assumptions!$B$24</f>
        <v/>
      </c>
      <c r="AL10" s="68">
        <f>AJ10/AK10</f>
        <v/>
      </c>
      <c r="AM10" s="66">
        <f>AJ10/AB10</f>
        <v/>
      </c>
      <c r="AN10" s="57">
        <f>AB10*Assumptions!$B$9</f>
        <v/>
      </c>
      <c r="AO10" s="57">
        <f>Assumptions!$B$8*AB10*(1-Assumptions!$B$9)</f>
        <v/>
      </c>
      <c r="AP10" s="67">
        <f>AB10-AN10-AO10</f>
        <v/>
      </c>
      <c r="AQ10" s="40">
        <f>U10*AA10</f>
        <v/>
      </c>
      <c r="AR10" s="40">
        <f>U10*M10</f>
        <v/>
      </c>
      <c r="AS10" s="40">
        <f>AR10*Assumptions!$B$44*Assumptions!$B$37</f>
        <v/>
      </c>
      <c r="AT10" s="40">
        <f>(AJ10-AR10*Assumptions!$B$44)/AK10</f>
        <v/>
      </c>
    </row>
    <row r="11" ht="15" customHeight="1" s="41">
      <c r="A11" s="46" t="inlineStr">
        <is>
          <t>Pflugerville</t>
        </is>
      </c>
      <c r="B11" s="46" t="inlineStr">
        <is>
          <t>Travis</t>
        </is>
      </c>
      <c r="C11" s="63" t="inlineStr">
        <is>
          <t>Regional</t>
        </is>
      </c>
      <c r="D11" s="63" t="inlineStr">
        <is>
          <t>Ring</t>
        </is>
      </c>
      <c r="E11" s="60" t="inlineStr">
        <is>
          <t>Standalone</t>
        </is>
      </c>
      <c r="F11" s="64" t="n"/>
      <c r="G11" s="51" t="n">
        <v>2</v>
      </c>
      <c r="H11" s="51" t="n">
        <v>325</v>
      </c>
      <c r="I11" s="51" t="n">
        <v>110</v>
      </c>
      <c r="J11" s="49" t="n">
        <v>0.64</v>
      </c>
      <c r="K11" s="49" t="n">
        <v>0.14</v>
      </c>
      <c r="L11" s="52" t="n">
        <v>300</v>
      </c>
      <c r="M11" s="52" t="n">
        <v>85</v>
      </c>
      <c r="N11" s="52" t="n">
        <v>630000</v>
      </c>
      <c r="O11" s="52" t="n">
        <v>8700</v>
      </c>
      <c r="P11" s="52" t="n">
        <v>27</v>
      </c>
      <c r="Q11" s="60" t="n">
        <v>60</v>
      </c>
      <c r="R11" s="52" t="n">
        <v>590</v>
      </c>
      <c r="S11" s="50" t="n">
        <v>0.003</v>
      </c>
      <c r="T11" s="65">
        <f>H11*I11</f>
        <v/>
      </c>
      <c r="U11" s="56">
        <f>MAX(T11/J11,T11/(1-K11-Assumptions!$B$11))</f>
        <v/>
      </c>
      <c r="V11" s="65">
        <f>K11*U11</f>
        <v/>
      </c>
      <c r="W11" s="65">
        <f>T11+V11</f>
        <v/>
      </c>
      <c r="X11" s="65">
        <f>U11-W11</f>
        <v/>
      </c>
      <c r="Y11" s="66">
        <f>W11/U11</f>
        <v/>
      </c>
      <c r="Z11" s="57">
        <f>INDEX(Hosts!$B$2:$B$6,MATCH(E11,Hosts!$A$2:$A$6,0))</f>
        <v/>
      </c>
      <c r="AA11" s="57">
        <f>L11*IF(E11="Standalone",1,Assumptions!$B$10)*(1+Assumptions!$B$2)</f>
        <v/>
      </c>
      <c r="AB11" s="67">
        <f>U11*(AA11+M11)</f>
        <v/>
      </c>
      <c r="AC11" s="67">
        <f>H11*O11*(1-Assumptions!$B$33)+N11+Z11</f>
        <v/>
      </c>
      <c r="AD11" s="57">
        <f>U11*P11*(1+Assumptions!$B$2)</f>
        <v/>
      </c>
      <c r="AE11" s="57">
        <f>U11*M11*Assumptions!$B$3</f>
        <v/>
      </c>
      <c r="AF11" s="57">
        <f>H11*Assumptions!$B$26</f>
        <v/>
      </c>
      <c r="AG11" s="67">
        <f>H11*R11</f>
        <v/>
      </c>
      <c r="AH11" s="67">
        <f>AB11*S11</f>
        <v/>
      </c>
      <c r="AI11" s="57">
        <f>H11*Q11*Assumptions!$B$14*Assumptions!$B$13*Assumptions!$B$12</f>
        <v/>
      </c>
      <c r="AJ11" s="67">
        <f>AC11-AD11-AE11-AS11-AF11+AG11+AH11+AI11+Assumptions!$B$29</f>
        <v/>
      </c>
      <c r="AK11" s="57">
        <f>Assumptions!$B$8*AB11*(1-Assumptions!$B$9)*Assumptions!$B$24</f>
        <v/>
      </c>
      <c r="AL11" s="68">
        <f>AJ11/AK11</f>
        <v/>
      </c>
      <c r="AM11" s="66">
        <f>AJ11/AB11</f>
        <v/>
      </c>
      <c r="AN11" s="57">
        <f>AB11*Assumptions!$B$9</f>
        <v/>
      </c>
      <c r="AO11" s="57">
        <f>Assumptions!$B$8*AB11*(1-Assumptions!$B$9)</f>
        <v/>
      </c>
      <c r="AP11" s="67">
        <f>AB11-AN11-AO11</f>
        <v/>
      </c>
      <c r="AQ11" s="40">
        <f>U11*AA11</f>
        <v/>
      </c>
      <c r="AR11" s="40">
        <f>U11*M11</f>
        <v/>
      </c>
      <c r="AS11" s="40">
        <f>AR11*Assumptions!$B$44*Assumptions!$B$37</f>
        <v/>
      </c>
      <c r="AT11" s="40">
        <f>(AJ11-AR11*Assumptions!$B$44)/AK11</f>
        <v/>
      </c>
    </row>
    <row r="12" ht="15" customHeight="1" s="41">
      <c r="A12" s="46" t="inlineStr">
        <is>
          <t>San Marcos</t>
        </is>
      </c>
      <c r="B12" s="46" t="inlineStr">
        <is>
          <t>Hays</t>
        </is>
      </c>
      <c r="C12" s="63" t="inlineStr">
        <is>
          <t>Regional</t>
        </is>
      </c>
      <c r="D12" s="63" t="inlineStr">
        <is>
          <t>Ring</t>
        </is>
      </c>
      <c r="E12" s="60" t="inlineStr">
        <is>
          <t>A</t>
        </is>
      </c>
      <c r="F12" s="64" t="n"/>
      <c r="G12" s="51" t="n">
        <v>1</v>
      </c>
      <c r="H12" s="51" t="n">
        <v>450</v>
      </c>
      <c r="I12" s="51" t="n">
        <v>110</v>
      </c>
      <c r="J12" s="49" t="n">
        <v>0.64</v>
      </c>
      <c r="K12" s="49" t="n">
        <v>0.14</v>
      </c>
      <c r="L12" s="52" t="n">
        <v>300</v>
      </c>
      <c r="M12" s="52" t="n">
        <v>85</v>
      </c>
      <c r="N12" s="52" t="n">
        <v>630000</v>
      </c>
      <c r="O12" s="52" t="n">
        <v>8700</v>
      </c>
      <c r="P12" s="52" t="n">
        <v>27</v>
      </c>
      <c r="Q12" s="60" t="n">
        <v>60</v>
      </c>
      <c r="R12" s="52" t="n">
        <v>590</v>
      </c>
      <c r="S12" s="50" t="n">
        <v>0.003</v>
      </c>
      <c r="T12" s="65">
        <f>H12*I12</f>
        <v/>
      </c>
      <c r="U12" s="56">
        <f>MAX(T12/J12,T12/(1-K12-Assumptions!$B$11))</f>
        <v/>
      </c>
      <c r="V12" s="65">
        <f>K12*U12</f>
        <v/>
      </c>
      <c r="W12" s="65">
        <f>T12+V12</f>
        <v/>
      </c>
      <c r="X12" s="65">
        <f>U12-W12</f>
        <v/>
      </c>
      <c r="Y12" s="66">
        <f>W12/U12</f>
        <v/>
      </c>
      <c r="Z12" s="57">
        <f>INDEX(Hosts!$B$2:$B$6,MATCH(E12,Hosts!$A$2:$A$6,0))</f>
        <v/>
      </c>
      <c r="AA12" s="57">
        <f>L12*IF(E12="Standalone",1,Assumptions!$B$10)*(1+Assumptions!$B$2)</f>
        <v/>
      </c>
      <c r="AB12" s="67">
        <f>U12*(AA12+M12)</f>
        <v/>
      </c>
      <c r="AC12" s="67">
        <f>H12*O12*(1-Assumptions!$B$33)+N12+Z12</f>
        <v/>
      </c>
      <c r="AD12" s="57">
        <f>U12*P12*(1+Assumptions!$B$2)</f>
        <v/>
      </c>
      <c r="AE12" s="57">
        <f>U12*M12*Assumptions!$B$3</f>
        <v/>
      </c>
      <c r="AF12" s="57">
        <f>H12*Assumptions!$B$26</f>
        <v/>
      </c>
      <c r="AG12" s="67">
        <f>H12*R12</f>
        <v/>
      </c>
      <c r="AH12" s="67">
        <f>AB12*S12</f>
        <v/>
      </c>
      <c r="AI12" s="57">
        <f>H12*Q12*Assumptions!$B$14*Assumptions!$B$13*Assumptions!$B$12</f>
        <v/>
      </c>
      <c r="AJ12" s="67">
        <f>AC12-AD12-AE12-AS12-AF12+AG12+AH12+AI12+Assumptions!$B$29</f>
        <v/>
      </c>
      <c r="AK12" s="57">
        <f>Assumptions!$B$8*AB12*(1-Assumptions!$B$9)*Assumptions!$B$24</f>
        <v/>
      </c>
      <c r="AL12" s="68">
        <f>AJ12/AK12</f>
        <v/>
      </c>
      <c r="AM12" s="66">
        <f>AJ12/AB12</f>
        <v/>
      </c>
      <c r="AN12" s="57">
        <f>AB12*Assumptions!$B$9</f>
        <v/>
      </c>
      <c r="AO12" s="57">
        <f>Assumptions!$B$8*AB12*(1-Assumptions!$B$9)</f>
        <v/>
      </c>
      <c r="AP12" s="67">
        <f>AB12-AN12-AO12</f>
        <v/>
      </c>
      <c r="AQ12" s="40">
        <f>U12*AA12</f>
        <v/>
      </c>
      <c r="AR12" s="40">
        <f>U12*M12</f>
        <v/>
      </c>
      <c r="AS12" s="40">
        <f>AR12*Assumptions!$B$44*Assumptions!$B$37</f>
        <v/>
      </c>
      <c r="AT12" s="40">
        <f>(AJ12-AR12*Assumptions!$B$44)/AK12</f>
        <v/>
      </c>
    </row>
    <row r="13" ht="15" customHeight="1" s="41">
      <c r="A13" s="46" t="inlineStr">
        <is>
          <t>Kyle</t>
        </is>
      </c>
      <c r="B13" s="46" t="inlineStr">
        <is>
          <t>Hays</t>
        </is>
      </c>
      <c r="C13" s="63" t="inlineStr">
        <is>
          <t>Regional</t>
        </is>
      </c>
      <c r="D13" s="63" t="inlineStr">
        <is>
          <t>Ring</t>
        </is>
      </c>
      <c r="E13" s="60" t="inlineStr">
        <is>
          <t>Standalone</t>
        </is>
      </c>
      <c r="F13" s="64" t="n"/>
      <c r="G13" s="51" t="n">
        <v>3</v>
      </c>
      <c r="H13" s="51" t="n">
        <v>325</v>
      </c>
      <c r="I13" s="51" t="n">
        <v>110</v>
      </c>
      <c r="J13" s="49" t="n">
        <v>0.64</v>
      </c>
      <c r="K13" s="49" t="n">
        <v>0.14</v>
      </c>
      <c r="L13" s="52" t="n">
        <v>300</v>
      </c>
      <c r="M13" s="52" t="n">
        <v>85</v>
      </c>
      <c r="N13" s="52" t="n">
        <v>630000</v>
      </c>
      <c r="O13" s="52" t="n">
        <v>9900</v>
      </c>
      <c r="P13" s="52" t="n">
        <v>30</v>
      </c>
      <c r="Q13" s="60" t="n">
        <v>40</v>
      </c>
      <c r="R13" s="52" t="n">
        <v>590</v>
      </c>
      <c r="S13" s="50" t="n">
        <v>0.003</v>
      </c>
      <c r="T13" s="65">
        <f>H13*I13</f>
        <v/>
      </c>
      <c r="U13" s="56">
        <f>MAX(T13/J13,T13/(1-K13-Assumptions!$B$11))</f>
        <v/>
      </c>
      <c r="V13" s="65">
        <f>K13*U13</f>
        <v/>
      </c>
      <c r="W13" s="65">
        <f>T13+V13</f>
        <v/>
      </c>
      <c r="X13" s="65">
        <f>U13-W13</f>
        <v/>
      </c>
      <c r="Y13" s="66">
        <f>W13/U13</f>
        <v/>
      </c>
      <c r="Z13" s="57">
        <f>INDEX(Hosts!$B$2:$B$6,MATCH(E13,Hosts!$A$2:$A$6,0))</f>
        <v/>
      </c>
      <c r="AA13" s="57">
        <f>L13*IF(E13="Standalone",1,Assumptions!$B$10)*(1+Assumptions!$B$2)</f>
        <v/>
      </c>
      <c r="AB13" s="67">
        <f>U13*(AA13+M13)</f>
        <v/>
      </c>
      <c r="AC13" s="67">
        <f>H13*O13*(1-Assumptions!$B$33)+N13+Z13</f>
        <v/>
      </c>
      <c r="AD13" s="57">
        <f>U13*P13*(1+Assumptions!$B$2)</f>
        <v/>
      </c>
      <c r="AE13" s="57">
        <f>U13*M13*Assumptions!$B$3</f>
        <v/>
      </c>
      <c r="AF13" s="57">
        <f>H13*Assumptions!$B$26</f>
        <v/>
      </c>
      <c r="AG13" s="67">
        <f>H13*R13</f>
        <v/>
      </c>
      <c r="AH13" s="67">
        <f>AB13*S13</f>
        <v/>
      </c>
      <c r="AI13" s="57">
        <f>H13*Q13*Assumptions!$B$14*Assumptions!$B$13*Assumptions!$B$12</f>
        <v/>
      </c>
      <c r="AJ13" s="67">
        <f>AC13-AD13-AE13-AS13-AF13+AG13+AH13+AI13+Assumptions!$B$29</f>
        <v/>
      </c>
      <c r="AK13" s="57">
        <f>Assumptions!$B$8*AB13*(1-Assumptions!$B$9)*Assumptions!$B$24</f>
        <v/>
      </c>
      <c r="AL13" s="68">
        <f>AJ13/AK13</f>
        <v/>
      </c>
      <c r="AM13" s="66">
        <f>AJ13/AB13</f>
        <v/>
      </c>
      <c r="AN13" s="57">
        <f>AB13*Assumptions!$B$9</f>
        <v/>
      </c>
      <c r="AO13" s="57">
        <f>Assumptions!$B$8*AB13*(1-Assumptions!$B$9)</f>
        <v/>
      </c>
      <c r="AP13" s="67">
        <f>AB13-AN13-AO13</f>
        <v/>
      </c>
      <c r="AQ13" s="40">
        <f>U13*AA13</f>
        <v/>
      </c>
      <c r="AR13" s="40">
        <f>U13*M13</f>
        <v/>
      </c>
      <c r="AS13" s="40">
        <f>AR13*Assumptions!$B$44*Assumptions!$B$37</f>
        <v/>
      </c>
      <c r="AT13" s="40">
        <f>(AJ13-AR13*Assumptions!$B$44)/AK13</f>
        <v/>
      </c>
    </row>
    <row r="14" ht="15" customHeight="1" s="41">
      <c r="A14" s="46" t="inlineStr">
        <is>
          <t>Seguin</t>
        </is>
      </c>
      <c r="B14" s="46" t="inlineStr">
        <is>
          <t>Guadalupe</t>
        </is>
      </c>
      <c r="C14" s="63" t="inlineStr">
        <is>
          <t>Regional</t>
        </is>
      </c>
      <c r="D14" s="63" t="inlineStr">
        <is>
          <t>Anchor</t>
        </is>
      </c>
      <c r="E14" s="60" t="inlineStr">
        <is>
          <t>Standalone</t>
        </is>
      </c>
      <c r="F14" s="64" t="n"/>
      <c r="G14" s="51" t="n">
        <v>4</v>
      </c>
      <c r="H14" s="51" t="n">
        <v>325</v>
      </c>
      <c r="I14" s="51" t="n">
        <v>110</v>
      </c>
      <c r="J14" s="49" t="n">
        <v>0.64</v>
      </c>
      <c r="K14" s="49" t="n">
        <v>0.14</v>
      </c>
      <c r="L14" s="52" t="n">
        <v>300</v>
      </c>
      <c r="M14" s="52" t="n">
        <v>85</v>
      </c>
      <c r="N14" s="52" t="n">
        <v>630000</v>
      </c>
      <c r="O14" s="52" t="n">
        <v>9900</v>
      </c>
      <c r="P14" s="52" t="n">
        <v>30</v>
      </c>
      <c r="Q14" s="60" t="n">
        <v>40</v>
      </c>
      <c r="R14" s="52" t="n">
        <v>590</v>
      </c>
      <c r="S14" s="50" t="n">
        <v>0.003</v>
      </c>
      <c r="T14" s="65">
        <f>H14*I14</f>
        <v/>
      </c>
      <c r="U14" s="56">
        <f>MAX(T14/J14,T14/(1-K14-Assumptions!$B$11))</f>
        <v/>
      </c>
      <c r="V14" s="65">
        <f>K14*U14</f>
        <v/>
      </c>
      <c r="W14" s="65">
        <f>T14+V14</f>
        <v/>
      </c>
      <c r="X14" s="65">
        <f>U14-W14</f>
        <v/>
      </c>
      <c r="Y14" s="66">
        <f>W14/U14</f>
        <v/>
      </c>
      <c r="Z14" s="57">
        <f>INDEX(Hosts!$B$2:$B$6,MATCH(E14,Hosts!$A$2:$A$6,0))</f>
        <v/>
      </c>
      <c r="AA14" s="57">
        <f>L14*IF(E14="Standalone",1,Assumptions!$B$10)*(1+Assumptions!$B$2)</f>
        <v/>
      </c>
      <c r="AB14" s="67">
        <f>U14*(AA14+M14)</f>
        <v/>
      </c>
      <c r="AC14" s="67">
        <f>H14*O14*(1-Assumptions!$B$33)+N14+Z14</f>
        <v/>
      </c>
      <c r="AD14" s="57">
        <f>U14*P14*(1+Assumptions!$B$2)</f>
        <v/>
      </c>
      <c r="AE14" s="57">
        <f>U14*M14*Assumptions!$B$3</f>
        <v/>
      </c>
      <c r="AF14" s="57">
        <f>H14*Assumptions!$B$26</f>
        <v/>
      </c>
      <c r="AG14" s="67">
        <f>H14*R14</f>
        <v/>
      </c>
      <c r="AH14" s="67">
        <f>AB14*S14</f>
        <v/>
      </c>
      <c r="AI14" s="57">
        <f>H14*Q14*Assumptions!$B$14*Assumptions!$B$13*Assumptions!$B$12</f>
        <v/>
      </c>
      <c r="AJ14" s="67">
        <f>AC14-AD14-AE14-AS14-AF14+AG14+AH14+AI14+Assumptions!$B$29</f>
        <v/>
      </c>
      <c r="AK14" s="57">
        <f>Assumptions!$B$8*AB14*(1-Assumptions!$B$9)*Assumptions!$B$24</f>
        <v/>
      </c>
      <c r="AL14" s="68">
        <f>AJ14/AK14</f>
        <v/>
      </c>
      <c r="AM14" s="66">
        <f>AJ14/AB14</f>
        <v/>
      </c>
      <c r="AN14" s="57">
        <f>AB14*Assumptions!$B$9</f>
        <v/>
      </c>
      <c r="AO14" s="57">
        <f>Assumptions!$B$8*AB14*(1-Assumptions!$B$9)</f>
        <v/>
      </c>
      <c r="AP14" s="67">
        <f>AB14-AN14-AO14</f>
        <v/>
      </c>
      <c r="AQ14" s="40">
        <f>U14*AA14</f>
        <v/>
      </c>
      <c r="AR14" s="40">
        <f>U14*M14</f>
        <v/>
      </c>
      <c r="AS14" s="40">
        <f>AR14*Assumptions!$B$44*Assumptions!$B$37</f>
        <v/>
      </c>
      <c r="AT14" s="40">
        <f>(AJ14-AR14*Assumptions!$B$44)/AK14</f>
        <v/>
      </c>
    </row>
    <row r="15" ht="15" customHeight="1" s="41">
      <c r="A15" s="46" t="inlineStr">
        <is>
          <t>Shady Hollow</t>
        </is>
      </c>
      <c r="B15" s="46" t="inlineStr">
        <is>
          <t>Travis</t>
        </is>
      </c>
      <c r="C15" s="63" t="inlineStr">
        <is>
          <t>Regional</t>
        </is>
      </c>
      <c r="D15" s="63" t="inlineStr">
        <is>
          <t>Gateway</t>
        </is>
      </c>
      <c r="E15" s="60" t="inlineStr">
        <is>
          <t>Standalone</t>
        </is>
      </c>
      <c r="F15" s="64" t="n"/>
      <c r="G15" s="51" t="n">
        <v>3</v>
      </c>
      <c r="H15" s="51" t="n">
        <v>325</v>
      </c>
      <c r="I15" s="51" t="n">
        <v>110</v>
      </c>
      <c r="J15" s="49" t="n">
        <v>0.64</v>
      </c>
      <c r="K15" s="49" t="n">
        <v>0.14</v>
      </c>
      <c r="L15" s="52" t="n">
        <v>300</v>
      </c>
      <c r="M15" s="52" t="n">
        <v>85</v>
      </c>
      <c r="N15" s="52" t="n">
        <v>630000</v>
      </c>
      <c r="O15" s="52" t="n">
        <v>9900</v>
      </c>
      <c r="P15" s="52" t="n">
        <v>30</v>
      </c>
      <c r="Q15" s="60" t="n">
        <v>40</v>
      </c>
      <c r="R15" s="52" t="n">
        <v>590</v>
      </c>
      <c r="S15" s="50" t="n">
        <v>0.003</v>
      </c>
      <c r="T15" s="65">
        <f>H15*I15</f>
        <v/>
      </c>
      <c r="U15" s="56">
        <f>MAX(T15/J15,T15/(1-K15-Assumptions!$B$11))</f>
        <v/>
      </c>
      <c r="V15" s="65">
        <f>K15*U15</f>
        <v/>
      </c>
      <c r="W15" s="65">
        <f>T15+V15</f>
        <v/>
      </c>
      <c r="X15" s="65">
        <f>U15-W15</f>
        <v/>
      </c>
      <c r="Y15" s="66">
        <f>W15/U15</f>
        <v/>
      </c>
      <c r="Z15" s="57">
        <f>INDEX(Hosts!$B$2:$B$6,MATCH(E15,Hosts!$A$2:$A$6,0))</f>
        <v/>
      </c>
      <c r="AA15" s="57">
        <f>L15*IF(E15="Standalone",1,Assumptions!$B$10)*(1+Assumptions!$B$2)</f>
        <v/>
      </c>
      <c r="AB15" s="67">
        <f>U15*(AA15+M15)</f>
        <v/>
      </c>
      <c r="AC15" s="67">
        <f>H15*O15*(1-Assumptions!$B$33)+N15+Z15</f>
        <v/>
      </c>
      <c r="AD15" s="57">
        <f>U15*P15*(1+Assumptions!$B$2)</f>
        <v/>
      </c>
      <c r="AE15" s="57">
        <f>U15*M15*Assumptions!$B$3</f>
        <v/>
      </c>
      <c r="AF15" s="57">
        <f>H15*Assumptions!$B$26</f>
        <v/>
      </c>
      <c r="AG15" s="67">
        <f>H15*R15</f>
        <v/>
      </c>
      <c r="AH15" s="67">
        <f>AB15*S15</f>
        <v/>
      </c>
      <c r="AI15" s="57">
        <f>H15*Q15*Assumptions!$B$14*Assumptions!$B$13*Assumptions!$B$12</f>
        <v/>
      </c>
      <c r="AJ15" s="67">
        <f>AC15-AD15-AE15-AS15-AF15+AG15+AH15+AI15+Assumptions!$B$29</f>
        <v/>
      </c>
      <c r="AK15" s="57">
        <f>Assumptions!$B$8*AB15*(1-Assumptions!$B$9)*Assumptions!$B$24</f>
        <v/>
      </c>
      <c r="AL15" s="68">
        <f>AJ15/AK15</f>
        <v/>
      </c>
      <c r="AM15" s="66">
        <f>AJ15/AB15</f>
        <v/>
      </c>
      <c r="AN15" s="57">
        <f>AB15*Assumptions!$B$9</f>
        <v/>
      </c>
      <c r="AO15" s="57">
        <f>Assumptions!$B$8*AB15*(1-Assumptions!$B$9)</f>
        <v/>
      </c>
      <c r="AP15" s="67">
        <f>AB15-AN15-AO15</f>
        <v/>
      </c>
      <c r="AQ15" s="40">
        <f>U15*AA15</f>
        <v/>
      </c>
      <c r="AR15" s="40">
        <f>U15*M15</f>
        <v/>
      </c>
      <c r="AS15" s="40">
        <f>AR15*Assumptions!$B$44*Assumptions!$B$37</f>
        <v/>
      </c>
      <c r="AT15" s="40">
        <f>(AJ15-AR15*Assumptions!$B$44)/AK15</f>
        <v/>
      </c>
    </row>
    <row r="16" ht="15" customHeight="1" s="41">
      <c r="A16" s="46" t="inlineStr">
        <is>
          <t>Taylor</t>
        </is>
      </c>
      <c r="B16" s="46" t="inlineStr">
        <is>
          <t>Williamson</t>
        </is>
      </c>
      <c r="C16" s="63" t="inlineStr">
        <is>
          <t>Edge</t>
        </is>
      </c>
      <c r="D16" s="63" t="inlineStr">
        <is>
          <t>Ring</t>
        </is>
      </c>
      <c r="E16" s="60" t="inlineStr">
        <is>
          <t>Standalone</t>
        </is>
      </c>
      <c r="F16" s="64" t="n"/>
      <c r="G16" s="51" t="n">
        <v>4</v>
      </c>
      <c r="H16" s="51" t="n">
        <v>125</v>
      </c>
      <c r="I16" s="51" t="n">
        <v>105</v>
      </c>
      <c r="J16" s="49" t="n">
        <v>0.62</v>
      </c>
      <c r="K16" s="49" t="n">
        <v>0.1</v>
      </c>
      <c r="L16" s="52" t="n">
        <v>250</v>
      </c>
      <c r="M16" s="52" t="n">
        <v>58</v>
      </c>
      <c r="N16" s="52" t="n">
        <v>120000</v>
      </c>
      <c r="O16" s="52" t="n">
        <v>8700</v>
      </c>
      <c r="P16" s="52" t="n">
        <v>27</v>
      </c>
      <c r="Q16" s="60" t="n">
        <v>60</v>
      </c>
      <c r="R16" s="52" t="n">
        <v>590</v>
      </c>
      <c r="S16" s="50" t="n">
        <v>0.003</v>
      </c>
      <c r="T16" s="65">
        <f>H16*I16</f>
        <v/>
      </c>
      <c r="U16" s="56">
        <f>MAX(T16/J16,T16/(1-K16-Assumptions!$B$11))</f>
        <v/>
      </c>
      <c r="V16" s="65">
        <f>K16*U16</f>
        <v/>
      </c>
      <c r="W16" s="65">
        <f>T16+V16</f>
        <v/>
      </c>
      <c r="X16" s="65">
        <f>U16-W16</f>
        <v/>
      </c>
      <c r="Y16" s="66">
        <f>W16/U16</f>
        <v/>
      </c>
      <c r="Z16" s="57">
        <f>INDEX(Hosts!$B$2:$B$6,MATCH(E16,Hosts!$A$2:$A$6,0))</f>
        <v/>
      </c>
      <c r="AA16" s="57">
        <f>L16*IF(E16="Standalone",1,Assumptions!$B$10)*(1+Assumptions!$B$2)</f>
        <v/>
      </c>
      <c r="AB16" s="67">
        <f>U16*(AA16+M16)</f>
        <v/>
      </c>
      <c r="AC16" s="67">
        <f>H16*O16*(1-Assumptions!$B$33)+N16+Z16</f>
        <v/>
      </c>
      <c r="AD16" s="57">
        <f>U16*P16*(1+Assumptions!$B$2)</f>
        <v/>
      </c>
      <c r="AE16" s="57">
        <f>U16*M16*Assumptions!$B$3</f>
        <v/>
      </c>
      <c r="AF16" s="57">
        <f>H16*Assumptions!$B$26</f>
        <v/>
      </c>
      <c r="AG16" s="67">
        <f>H16*R16</f>
        <v/>
      </c>
      <c r="AH16" s="67">
        <f>AB16*S16</f>
        <v/>
      </c>
      <c r="AI16" s="57">
        <f>H16*Q16*Assumptions!$B$14*Assumptions!$B$13*Assumptions!$B$12</f>
        <v/>
      </c>
      <c r="AJ16" s="67">
        <f>AC16-AD16-AE16-AS16-AF16+AG16+AH16+AI16+Assumptions!$B$29</f>
        <v/>
      </c>
      <c r="AK16" s="57">
        <f>Assumptions!$B$8*AB16*(1-Assumptions!$B$9)*Assumptions!$B$24</f>
        <v/>
      </c>
      <c r="AL16" s="68">
        <f>AJ16/AK16</f>
        <v/>
      </c>
      <c r="AM16" s="66">
        <f>AJ16/AB16</f>
        <v/>
      </c>
      <c r="AN16" s="57">
        <f>AB16*Assumptions!$B$9</f>
        <v/>
      </c>
      <c r="AO16" s="57">
        <f>Assumptions!$B$8*AB16*(1-Assumptions!$B$9)</f>
        <v/>
      </c>
      <c r="AP16" s="67">
        <f>AB16-AN16-AO16</f>
        <v/>
      </c>
      <c r="AQ16" s="40">
        <f>U16*AA16</f>
        <v/>
      </c>
      <c r="AR16" s="40">
        <f>U16*M16</f>
        <v/>
      </c>
      <c r="AS16" s="40">
        <f>AR16*Assumptions!$B$44*Assumptions!$B$37</f>
        <v/>
      </c>
      <c r="AT16" s="40">
        <f>(AJ16-AR16*Assumptions!$B$44)/AK16</f>
        <v/>
      </c>
    </row>
    <row r="17" ht="15" customHeight="1" s="41">
      <c r="A17" s="46" t="inlineStr">
        <is>
          <t>Buda</t>
        </is>
      </c>
      <c r="B17" s="46" t="inlineStr">
        <is>
          <t>Hays</t>
        </is>
      </c>
      <c r="C17" s="63" t="inlineStr">
        <is>
          <t>Edge</t>
        </is>
      </c>
      <c r="D17" s="63" t="inlineStr">
        <is>
          <t>Ring</t>
        </is>
      </c>
      <c r="E17" s="60" t="inlineStr">
        <is>
          <t>Standalone</t>
        </is>
      </c>
      <c r="F17" s="64" t="n"/>
      <c r="G17" s="51" t="n">
        <v>4</v>
      </c>
      <c r="H17" s="51" t="n">
        <v>125</v>
      </c>
      <c r="I17" s="51" t="n">
        <v>105</v>
      </c>
      <c r="J17" s="49" t="n">
        <v>0.62</v>
      </c>
      <c r="K17" s="49" t="n">
        <v>0.1</v>
      </c>
      <c r="L17" s="52" t="n">
        <v>250</v>
      </c>
      <c r="M17" s="52" t="n">
        <v>58</v>
      </c>
      <c r="N17" s="52" t="n">
        <v>120000</v>
      </c>
      <c r="O17" s="52" t="n">
        <v>9900</v>
      </c>
      <c r="P17" s="52" t="n">
        <v>30</v>
      </c>
      <c r="Q17" s="60" t="n">
        <v>40</v>
      </c>
      <c r="R17" s="52" t="n">
        <v>590</v>
      </c>
      <c r="S17" s="50" t="n">
        <v>0.003</v>
      </c>
      <c r="T17" s="65">
        <f>H17*I17</f>
        <v/>
      </c>
      <c r="U17" s="56">
        <f>MAX(T17/J17,T17/(1-K17-Assumptions!$B$11))</f>
        <v/>
      </c>
      <c r="V17" s="65">
        <f>K17*U17</f>
        <v/>
      </c>
      <c r="W17" s="65">
        <f>T17+V17</f>
        <v/>
      </c>
      <c r="X17" s="65">
        <f>U17-W17</f>
        <v/>
      </c>
      <c r="Y17" s="66">
        <f>W17/U17</f>
        <v/>
      </c>
      <c r="Z17" s="57">
        <f>INDEX(Hosts!$B$2:$B$6,MATCH(E17,Hosts!$A$2:$A$6,0))</f>
        <v/>
      </c>
      <c r="AA17" s="57">
        <f>L17*IF(E17="Standalone",1,Assumptions!$B$10)*(1+Assumptions!$B$2)</f>
        <v/>
      </c>
      <c r="AB17" s="67">
        <f>U17*(AA17+M17)</f>
        <v/>
      </c>
      <c r="AC17" s="67">
        <f>H17*O17*(1-Assumptions!$B$33)+N17+Z17</f>
        <v/>
      </c>
      <c r="AD17" s="57">
        <f>U17*P17*(1+Assumptions!$B$2)</f>
        <v/>
      </c>
      <c r="AE17" s="57">
        <f>U17*M17*Assumptions!$B$3</f>
        <v/>
      </c>
      <c r="AF17" s="57">
        <f>H17*Assumptions!$B$26</f>
        <v/>
      </c>
      <c r="AG17" s="67">
        <f>H17*R17</f>
        <v/>
      </c>
      <c r="AH17" s="67">
        <f>AB17*S17</f>
        <v/>
      </c>
      <c r="AI17" s="57">
        <f>H17*Q17*Assumptions!$B$14*Assumptions!$B$13*Assumptions!$B$12</f>
        <v/>
      </c>
      <c r="AJ17" s="67">
        <f>AC17-AD17-AE17-AS17-AF17+AG17+AH17+AI17+Assumptions!$B$29</f>
        <v/>
      </c>
      <c r="AK17" s="57">
        <f>Assumptions!$B$8*AB17*(1-Assumptions!$B$9)*Assumptions!$B$24</f>
        <v/>
      </c>
      <c r="AL17" s="68">
        <f>AJ17/AK17</f>
        <v/>
      </c>
      <c r="AM17" s="66">
        <f>AJ17/AB17</f>
        <v/>
      </c>
      <c r="AN17" s="57">
        <f>AB17*Assumptions!$B$9</f>
        <v/>
      </c>
      <c r="AO17" s="57">
        <f>Assumptions!$B$8*AB17*(1-Assumptions!$B$9)</f>
        <v/>
      </c>
      <c r="AP17" s="67">
        <f>AB17-AN17-AO17</f>
        <v/>
      </c>
      <c r="AQ17" s="40">
        <f>U17*AA17</f>
        <v/>
      </c>
      <c r="AR17" s="40">
        <f>U17*M17</f>
        <v/>
      </c>
      <c r="AS17" s="40">
        <f>AR17*Assumptions!$B$44*Assumptions!$B$37</f>
        <v/>
      </c>
      <c r="AT17" s="40">
        <f>(AJ17-AR17*Assumptions!$B$44)/AK17</f>
        <v/>
      </c>
    </row>
    <row r="18" ht="15" customHeight="1" s="41">
      <c r="A18" s="46" t="inlineStr">
        <is>
          <t>Lakeway</t>
        </is>
      </c>
      <c r="B18" s="46" t="inlineStr">
        <is>
          <t>Travis</t>
        </is>
      </c>
      <c r="C18" s="63" t="inlineStr">
        <is>
          <t>Edge</t>
        </is>
      </c>
      <c r="D18" s="63" t="inlineStr">
        <is>
          <t>Ring</t>
        </is>
      </c>
      <c r="E18" s="60" t="inlineStr">
        <is>
          <t>Standalone</t>
        </is>
      </c>
      <c r="F18" s="64" t="n"/>
      <c r="G18" s="51" t="n">
        <v>5</v>
      </c>
      <c r="H18" s="51" t="n">
        <v>125</v>
      </c>
      <c r="I18" s="51" t="n">
        <v>105</v>
      </c>
      <c r="J18" s="49" t="n">
        <v>0.62</v>
      </c>
      <c r="K18" s="49" t="n">
        <v>0.1</v>
      </c>
      <c r="L18" s="52" t="n">
        <v>250</v>
      </c>
      <c r="M18" s="52" t="n">
        <v>58</v>
      </c>
      <c r="N18" s="52" t="n">
        <v>120000</v>
      </c>
      <c r="O18" s="52" t="n">
        <v>9900</v>
      </c>
      <c r="P18" s="52" t="n">
        <v>30</v>
      </c>
      <c r="Q18" s="60" t="n">
        <v>40</v>
      </c>
      <c r="R18" s="52" t="n">
        <v>590</v>
      </c>
      <c r="S18" s="50" t="n">
        <v>0.003</v>
      </c>
      <c r="T18" s="65">
        <f>H18*I18</f>
        <v/>
      </c>
      <c r="U18" s="56">
        <f>MAX(T18/J18,T18/(1-K18-Assumptions!$B$11))</f>
        <v/>
      </c>
      <c r="V18" s="65">
        <f>K18*U18</f>
        <v/>
      </c>
      <c r="W18" s="65">
        <f>T18+V18</f>
        <v/>
      </c>
      <c r="X18" s="65">
        <f>U18-W18</f>
        <v/>
      </c>
      <c r="Y18" s="66">
        <f>W18/U18</f>
        <v/>
      </c>
      <c r="Z18" s="57">
        <f>INDEX(Hosts!$B$2:$B$6,MATCH(E18,Hosts!$A$2:$A$6,0))</f>
        <v/>
      </c>
      <c r="AA18" s="57">
        <f>L18*IF(E18="Standalone",1,Assumptions!$B$10)*(1+Assumptions!$B$2)</f>
        <v/>
      </c>
      <c r="AB18" s="67">
        <f>U18*(AA18+M18)</f>
        <v/>
      </c>
      <c r="AC18" s="67">
        <f>H18*O18*(1-Assumptions!$B$33)+N18+Z18</f>
        <v/>
      </c>
      <c r="AD18" s="57">
        <f>U18*P18*(1+Assumptions!$B$2)</f>
        <v/>
      </c>
      <c r="AE18" s="57">
        <f>U18*M18*Assumptions!$B$3</f>
        <v/>
      </c>
      <c r="AF18" s="57">
        <f>H18*Assumptions!$B$26</f>
        <v/>
      </c>
      <c r="AG18" s="67">
        <f>H18*R18</f>
        <v/>
      </c>
      <c r="AH18" s="67">
        <f>AB18*S18</f>
        <v/>
      </c>
      <c r="AI18" s="57">
        <f>H18*Q18*Assumptions!$B$14*Assumptions!$B$13*Assumptions!$B$12</f>
        <v/>
      </c>
      <c r="AJ18" s="67">
        <f>AC18-AD18-AE18-AS18-AF18+AG18+AH18+AI18+Assumptions!$B$29</f>
        <v/>
      </c>
      <c r="AK18" s="57">
        <f>Assumptions!$B$8*AB18*(1-Assumptions!$B$9)*Assumptions!$B$24</f>
        <v/>
      </c>
      <c r="AL18" s="68">
        <f>AJ18/AK18</f>
        <v/>
      </c>
      <c r="AM18" s="66">
        <f>AJ18/AB18</f>
        <v/>
      </c>
      <c r="AN18" s="57">
        <f>AB18*Assumptions!$B$9</f>
        <v/>
      </c>
      <c r="AO18" s="57">
        <f>Assumptions!$B$8*AB18*(1-Assumptions!$B$9)</f>
        <v/>
      </c>
      <c r="AP18" s="67">
        <f>AB18-AN18-AO18</f>
        <v/>
      </c>
      <c r="AQ18" s="40">
        <f>U18*AA18</f>
        <v/>
      </c>
      <c r="AR18" s="40">
        <f>U18*M18</f>
        <v/>
      </c>
      <c r="AS18" s="40">
        <f>AR18*Assumptions!$B$44*Assumptions!$B$37</f>
        <v/>
      </c>
      <c r="AT18" s="40">
        <f>(AJ18-AR18*Assumptions!$B$44)/AK18</f>
        <v/>
      </c>
    </row>
    <row r="19" ht="15" customHeight="1" s="41">
      <c r="A19" s="46" t="inlineStr">
        <is>
          <t>Manor</t>
        </is>
      </c>
      <c r="B19" s="46" t="inlineStr">
        <is>
          <t>Travis</t>
        </is>
      </c>
      <c r="C19" s="63" t="inlineStr">
        <is>
          <t>Edge</t>
        </is>
      </c>
      <c r="D19" s="63" t="inlineStr">
        <is>
          <t>Gateway</t>
        </is>
      </c>
      <c r="E19" s="60" t="inlineStr">
        <is>
          <t>Standalone</t>
        </is>
      </c>
      <c r="F19" s="64" t="n"/>
      <c r="G19" s="51" t="n">
        <v>4</v>
      </c>
      <c r="H19" s="51" t="n">
        <v>125</v>
      </c>
      <c r="I19" s="51" t="n">
        <v>105</v>
      </c>
      <c r="J19" s="49" t="n">
        <v>0.62</v>
      </c>
      <c r="K19" s="49" t="n">
        <v>0.1</v>
      </c>
      <c r="L19" s="52" t="n">
        <v>250</v>
      </c>
      <c r="M19" s="52" t="n">
        <v>58</v>
      </c>
      <c r="N19" s="52" t="n">
        <v>120000</v>
      </c>
      <c r="O19" s="52" t="n">
        <v>8700</v>
      </c>
      <c r="P19" s="52" t="n">
        <v>27</v>
      </c>
      <c r="Q19" s="60" t="n">
        <v>60</v>
      </c>
      <c r="R19" s="52" t="n">
        <v>590</v>
      </c>
      <c r="S19" s="50" t="n">
        <v>0.003</v>
      </c>
      <c r="T19" s="65">
        <f>H19*I19</f>
        <v/>
      </c>
      <c r="U19" s="56">
        <f>MAX(T19/J19,T19/(1-K19-Assumptions!$B$11))</f>
        <v/>
      </c>
      <c r="V19" s="65">
        <f>K19*U19</f>
        <v/>
      </c>
      <c r="W19" s="65">
        <f>T19+V19</f>
        <v/>
      </c>
      <c r="X19" s="65">
        <f>U19-W19</f>
        <v/>
      </c>
      <c r="Y19" s="66">
        <f>W19/U19</f>
        <v/>
      </c>
      <c r="Z19" s="57">
        <f>INDEX(Hosts!$B$2:$B$6,MATCH(E19,Hosts!$A$2:$A$6,0))</f>
        <v/>
      </c>
      <c r="AA19" s="57">
        <f>L19*IF(E19="Standalone",1,Assumptions!$B$10)*(1+Assumptions!$B$2)</f>
        <v/>
      </c>
      <c r="AB19" s="67">
        <f>U19*(AA19+M19)</f>
        <v/>
      </c>
      <c r="AC19" s="67">
        <f>H19*O19*(1-Assumptions!$B$33)+N19+Z19</f>
        <v/>
      </c>
      <c r="AD19" s="57">
        <f>U19*P19*(1+Assumptions!$B$2)</f>
        <v/>
      </c>
      <c r="AE19" s="57">
        <f>U19*M19*Assumptions!$B$3</f>
        <v/>
      </c>
      <c r="AF19" s="57">
        <f>H19*Assumptions!$B$26</f>
        <v/>
      </c>
      <c r="AG19" s="67">
        <f>H19*R19</f>
        <v/>
      </c>
      <c r="AH19" s="67">
        <f>AB19*S19</f>
        <v/>
      </c>
      <c r="AI19" s="57">
        <f>H19*Q19*Assumptions!$B$14*Assumptions!$B$13*Assumptions!$B$12</f>
        <v/>
      </c>
      <c r="AJ19" s="67">
        <f>AC19-AD19-AE19-AS19-AF19+AG19+AH19+AI19+Assumptions!$B$29</f>
        <v/>
      </c>
      <c r="AK19" s="57">
        <f>Assumptions!$B$8*AB19*(1-Assumptions!$B$9)*Assumptions!$B$24</f>
        <v/>
      </c>
      <c r="AL19" s="68">
        <f>AJ19/AK19</f>
        <v/>
      </c>
      <c r="AM19" s="66">
        <f>AJ19/AB19</f>
        <v/>
      </c>
      <c r="AN19" s="57">
        <f>AB19*Assumptions!$B$9</f>
        <v/>
      </c>
      <c r="AO19" s="57">
        <f>Assumptions!$B$8*AB19*(1-Assumptions!$B$9)</f>
        <v/>
      </c>
      <c r="AP19" s="67">
        <f>AB19-AN19-AO19</f>
        <v/>
      </c>
      <c r="AQ19" s="40">
        <f>U19*AA19</f>
        <v/>
      </c>
      <c r="AR19" s="40">
        <f>U19*M19</f>
        <v/>
      </c>
      <c r="AS19" s="40">
        <f>AR19*Assumptions!$B$44*Assumptions!$B$37</f>
        <v/>
      </c>
      <c r="AT19" s="40">
        <f>(AJ19-AR19*Assumptions!$B$44)/AK19</f>
        <v/>
      </c>
    </row>
    <row r="20" ht="15" customHeight="1" s="41">
      <c r="A20" s="46" t="inlineStr">
        <is>
          <t>Del Valle</t>
        </is>
      </c>
      <c r="B20" s="46" t="inlineStr">
        <is>
          <t>Travis</t>
        </is>
      </c>
      <c r="C20" s="63" t="inlineStr">
        <is>
          <t>Edge</t>
        </is>
      </c>
      <c r="D20" s="63" t="inlineStr">
        <is>
          <t>Gateway</t>
        </is>
      </c>
      <c r="E20" s="60" t="inlineStr">
        <is>
          <t>Standalone</t>
        </is>
      </c>
      <c r="F20" s="64" t="n"/>
      <c r="G20" s="51" t="n">
        <v>4</v>
      </c>
      <c r="H20" s="51" t="n">
        <v>125</v>
      </c>
      <c r="I20" s="51" t="n">
        <v>105</v>
      </c>
      <c r="J20" s="49" t="n">
        <v>0.62</v>
      </c>
      <c r="K20" s="49" t="n">
        <v>0.1</v>
      </c>
      <c r="L20" s="52" t="n">
        <v>250</v>
      </c>
      <c r="M20" s="52" t="n">
        <v>58</v>
      </c>
      <c r="N20" s="52" t="n">
        <v>120000</v>
      </c>
      <c r="O20" s="52" t="n">
        <v>8700</v>
      </c>
      <c r="P20" s="52" t="n">
        <v>27</v>
      </c>
      <c r="Q20" s="60" t="n">
        <v>60</v>
      </c>
      <c r="R20" s="52" t="n">
        <v>590</v>
      </c>
      <c r="S20" s="50" t="n">
        <v>0.003</v>
      </c>
      <c r="T20" s="65">
        <f>H20*I20</f>
        <v/>
      </c>
      <c r="U20" s="56">
        <f>MAX(T20/J20,T20/(1-K20-Assumptions!$B$11))</f>
        <v/>
      </c>
      <c r="V20" s="65">
        <f>K20*U20</f>
        <v/>
      </c>
      <c r="W20" s="65">
        <f>T20+V20</f>
        <v/>
      </c>
      <c r="X20" s="65">
        <f>U20-W20</f>
        <v/>
      </c>
      <c r="Y20" s="66">
        <f>W20/U20</f>
        <v/>
      </c>
      <c r="Z20" s="57">
        <f>INDEX(Hosts!$B$2:$B$6,MATCH(E20,Hosts!$A$2:$A$6,0))</f>
        <v/>
      </c>
      <c r="AA20" s="57">
        <f>L20*IF(E20="Standalone",1,Assumptions!$B$10)*(1+Assumptions!$B$2)</f>
        <v/>
      </c>
      <c r="AB20" s="67">
        <f>U20*(AA20+M20)</f>
        <v/>
      </c>
      <c r="AC20" s="67">
        <f>H20*O20*(1-Assumptions!$B$33)+N20+Z20</f>
        <v/>
      </c>
      <c r="AD20" s="57">
        <f>U20*P20*(1+Assumptions!$B$2)</f>
        <v/>
      </c>
      <c r="AE20" s="57">
        <f>U20*M20*Assumptions!$B$3</f>
        <v/>
      </c>
      <c r="AF20" s="57">
        <f>H20*Assumptions!$B$26</f>
        <v/>
      </c>
      <c r="AG20" s="67">
        <f>H20*R20</f>
        <v/>
      </c>
      <c r="AH20" s="67">
        <f>AB20*S20</f>
        <v/>
      </c>
      <c r="AI20" s="57">
        <f>H20*Q20*Assumptions!$B$14*Assumptions!$B$13*Assumptions!$B$12</f>
        <v/>
      </c>
      <c r="AJ20" s="67">
        <f>AC20-AD20-AE20-AS20-AF20+AG20+AH20+AI20+Assumptions!$B$29</f>
        <v/>
      </c>
      <c r="AK20" s="57">
        <f>Assumptions!$B$8*AB20*(1-Assumptions!$B$9)*Assumptions!$B$24</f>
        <v/>
      </c>
      <c r="AL20" s="68">
        <f>AJ20/AK20</f>
        <v/>
      </c>
      <c r="AM20" s="66">
        <f>AJ20/AB20</f>
        <v/>
      </c>
      <c r="AN20" s="57">
        <f>AB20*Assumptions!$B$9</f>
        <v/>
      </c>
      <c r="AO20" s="57">
        <f>Assumptions!$B$8*AB20*(1-Assumptions!$B$9)</f>
        <v/>
      </c>
      <c r="AP20" s="67">
        <f>AB20-AN20-AO20</f>
        <v/>
      </c>
      <c r="AQ20" s="40">
        <f>U20*AA20</f>
        <v/>
      </c>
      <c r="AR20" s="40">
        <f>U20*M20</f>
        <v/>
      </c>
      <c r="AS20" s="40">
        <f>AR20*Assumptions!$B$44*Assumptions!$B$37</f>
        <v/>
      </c>
      <c r="AT20" s="40">
        <f>(AJ20-AR20*Assumptions!$B$44)/AK20</f>
        <v/>
      </c>
    </row>
    <row r="21" ht="15" customHeight="1" s="41">
      <c r="A21" s="46" t="inlineStr">
        <is>
          <t>Jarrell</t>
        </is>
      </c>
      <c r="B21" s="46" t="inlineStr">
        <is>
          <t>Williamson</t>
        </is>
      </c>
      <c r="C21" s="63" t="inlineStr">
        <is>
          <t>Presence</t>
        </is>
      </c>
      <c r="D21" s="63" t="inlineStr">
        <is>
          <t>Ring</t>
        </is>
      </c>
      <c r="E21" s="60" t="inlineStr">
        <is>
          <t>Standalone</t>
        </is>
      </c>
      <c r="F21" s="64" t="n"/>
      <c r="G21" s="51" t="n">
        <v>5</v>
      </c>
      <c r="H21" s="51" t="n">
        <v>40</v>
      </c>
      <c r="I21" s="51" t="n">
        <v>105</v>
      </c>
      <c r="J21" s="49" t="n">
        <v>0.62</v>
      </c>
      <c r="K21" s="49" t="n">
        <v>0.1</v>
      </c>
      <c r="L21" s="52" t="n">
        <v>180</v>
      </c>
      <c r="M21" s="52" t="n">
        <v>40</v>
      </c>
      <c r="N21" s="52" t="n">
        <v>0</v>
      </c>
      <c r="O21" s="52" t="n">
        <v>8700</v>
      </c>
      <c r="P21" s="52" t="n">
        <v>27</v>
      </c>
      <c r="Q21" s="60" t="n">
        <v>60</v>
      </c>
      <c r="R21" s="52" t="n">
        <v>590</v>
      </c>
      <c r="S21" s="50" t="n">
        <v>0.003</v>
      </c>
      <c r="T21" s="65">
        <f>H21*I21</f>
        <v/>
      </c>
      <c r="U21" s="56">
        <f>MAX(T21/J21,T21/(1-K21-Assumptions!$B$11))</f>
        <v/>
      </c>
      <c r="V21" s="65">
        <f>K21*U21</f>
        <v/>
      </c>
      <c r="W21" s="65">
        <f>T21+V21</f>
        <v/>
      </c>
      <c r="X21" s="65">
        <f>U21-W21</f>
        <v/>
      </c>
      <c r="Y21" s="66">
        <f>W21/U21</f>
        <v/>
      </c>
      <c r="Z21" s="57">
        <f>INDEX(Hosts!$B$2:$B$6,MATCH(E21,Hosts!$A$2:$A$6,0))</f>
        <v/>
      </c>
      <c r="AA21" s="57">
        <f>L21*IF(E21="Standalone",1,Assumptions!$B$10)*(1+Assumptions!$B$2)</f>
        <v/>
      </c>
      <c r="AB21" s="67">
        <f>U21*(AA21+M21)</f>
        <v/>
      </c>
      <c r="AC21" s="67">
        <f>H21*O21*(1-Assumptions!$B$33)+N21+Z21</f>
        <v/>
      </c>
      <c r="AD21" s="57">
        <f>U21*P21*(1+Assumptions!$B$2)</f>
        <v/>
      </c>
      <c r="AE21" s="57">
        <f>U21*M21*Assumptions!$B$3</f>
        <v/>
      </c>
      <c r="AF21" s="57">
        <f>H21*Assumptions!$B$26</f>
        <v/>
      </c>
      <c r="AG21" s="67">
        <f>H21*R21</f>
        <v/>
      </c>
      <c r="AH21" s="67">
        <f>AB21*S21</f>
        <v/>
      </c>
      <c r="AI21" s="57">
        <f>H21*Q21*Assumptions!$B$14*Assumptions!$B$13*Assumptions!$B$12</f>
        <v/>
      </c>
      <c r="AJ21" s="67">
        <f>AC21-AD21-AE21-AS21-AF21+AG21+AH21+AI21+Assumptions!$B$29</f>
        <v/>
      </c>
      <c r="AK21" s="57">
        <f>Assumptions!$B$8*AB21*(1-Assumptions!$B$9)*Assumptions!$B$24</f>
        <v/>
      </c>
      <c r="AL21" s="68">
        <f>AJ21/AK21</f>
        <v/>
      </c>
      <c r="AM21" s="66">
        <f>AJ21/AB21</f>
        <v/>
      </c>
      <c r="AN21" s="57">
        <f>AB21*Assumptions!$B$9</f>
        <v/>
      </c>
      <c r="AO21" s="57">
        <f>Assumptions!$B$8*AB21*(1-Assumptions!$B$9)</f>
        <v/>
      </c>
      <c r="AP21" s="67">
        <f>AB21-AN21-AO21</f>
        <v/>
      </c>
      <c r="AQ21" s="40">
        <f>U21*AA21</f>
        <v/>
      </c>
      <c r="AR21" s="40">
        <f>U21*M21</f>
        <v/>
      </c>
      <c r="AS21" s="40">
        <f>AR21*Assumptions!$B$44*Assumptions!$B$37</f>
        <v/>
      </c>
      <c r="AT21" s="40">
        <f>(AJ21-AR21*Assumptions!$B$44)/AK21</f>
        <v/>
      </c>
    </row>
    <row r="22" ht="15" customHeight="1" s="41">
      <c r="A22" s="46" t="inlineStr">
        <is>
          <t>Liberty Hill</t>
        </is>
      </c>
      <c r="B22" s="46" t="inlineStr">
        <is>
          <t>Williamson</t>
        </is>
      </c>
      <c r="C22" s="63" t="inlineStr">
        <is>
          <t>Presence</t>
        </is>
      </c>
      <c r="D22" s="63" t="inlineStr">
        <is>
          <t>Ring</t>
        </is>
      </c>
      <c r="E22" s="60" t="inlineStr">
        <is>
          <t>Standalone</t>
        </is>
      </c>
      <c r="F22" s="64" t="n"/>
      <c r="G22" s="51" t="n">
        <v>5</v>
      </c>
      <c r="H22" s="51" t="n">
        <v>40</v>
      </c>
      <c r="I22" s="51" t="n">
        <v>105</v>
      </c>
      <c r="J22" s="49" t="n">
        <v>0.62</v>
      </c>
      <c r="K22" s="49" t="n">
        <v>0.1</v>
      </c>
      <c r="L22" s="52" t="n">
        <v>180</v>
      </c>
      <c r="M22" s="52" t="n">
        <v>40</v>
      </c>
      <c r="N22" s="52" t="n">
        <v>0</v>
      </c>
      <c r="O22" s="52" t="n">
        <v>8700</v>
      </c>
      <c r="P22" s="52" t="n">
        <v>27</v>
      </c>
      <c r="Q22" s="60" t="n">
        <v>60</v>
      </c>
      <c r="R22" s="52" t="n">
        <v>590</v>
      </c>
      <c r="S22" s="50" t="n">
        <v>0.003</v>
      </c>
      <c r="T22" s="65">
        <f>H22*I22</f>
        <v/>
      </c>
      <c r="U22" s="56">
        <f>MAX(T22/J22,T22/(1-K22-Assumptions!$B$11))</f>
        <v/>
      </c>
      <c r="V22" s="65">
        <f>K22*U22</f>
        <v/>
      </c>
      <c r="W22" s="65">
        <f>T22+V22</f>
        <v/>
      </c>
      <c r="X22" s="65">
        <f>U22-W22</f>
        <v/>
      </c>
      <c r="Y22" s="66">
        <f>W22/U22</f>
        <v/>
      </c>
      <c r="Z22" s="57">
        <f>INDEX(Hosts!$B$2:$B$6,MATCH(E22,Hosts!$A$2:$A$6,0))</f>
        <v/>
      </c>
      <c r="AA22" s="57">
        <f>L22*IF(E22="Standalone",1,Assumptions!$B$10)*(1+Assumptions!$B$2)</f>
        <v/>
      </c>
      <c r="AB22" s="67">
        <f>U22*(AA22+M22)</f>
        <v/>
      </c>
      <c r="AC22" s="67">
        <f>H22*O22*(1-Assumptions!$B$33)+N22+Z22</f>
        <v/>
      </c>
      <c r="AD22" s="57">
        <f>U22*P22*(1+Assumptions!$B$2)</f>
        <v/>
      </c>
      <c r="AE22" s="57">
        <f>U22*M22*Assumptions!$B$3</f>
        <v/>
      </c>
      <c r="AF22" s="57">
        <f>H22*Assumptions!$B$26</f>
        <v/>
      </c>
      <c r="AG22" s="67">
        <f>H22*R22</f>
        <v/>
      </c>
      <c r="AH22" s="67">
        <f>AB22*S22</f>
        <v/>
      </c>
      <c r="AI22" s="57">
        <f>H22*Q22*Assumptions!$B$14*Assumptions!$B$13*Assumptions!$B$12</f>
        <v/>
      </c>
      <c r="AJ22" s="67">
        <f>AC22-AD22-AE22-AS22-AF22+AG22+AH22+AI22+Assumptions!$B$29</f>
        <v/>
      </c>
      <c r="AK22" s="57">
        <f>Assumptions!$B$8*AB22*(1-Assumptions!$B$9)*Assumptions!$B$24</f>
        <v/>
      </c>
      <c r="AL22" s="68">
        <f>AJ22/AK22</f>
        <v/>
      </c>
      <c r="AM22" s="66">
        <f>AJ22/AB22</f>
        <v/>
      </c>
      <c r="AN22" s="57">
        <f>AB22*Assumptions!$B$9</f>
        <v/>
      </c>
      <c r="AO22" s="57">
        <f>Assumptions!$B$8*AB22*(1-Assumptions!$B$9)</f>
        <v/>
      </c>
      <c r="AP22" s="67">
        <f>AB22-AN22-AO22</f>
        <v/>
      </c>
      <c r="AQ22" s="40">
        <f>U22*AA22</f>
        <v/>
      </c>
      <c r="AR22" s="40">
        <f>U22*M22</f>
        <v/>
      </c>
      <c r="AS22" s="40">
        <f>AR22*Assumptions!$B$44*Assumptions!$B$37</f>
        <v/>
      </c>
      <c r="AT22" s="40">
        <f>(AJ22-AR22*Assumptions!$B$44)/AK22</f>
        <v/>
      </c>
    </row>
    <row r="23" ht="15" customHeight="1" s="41">
      <c r="A23" s="46" t="inlineStr">
        <is>
          <t>Bastrop</t>
        </is>
      </c>
      <c r="B23" s="46" t="inlineStr">
        <is>
          <t>Bastrop</t>
        </is>
      </c>
      <c r="C23" s="63" t="inlineStr">
        <is>
          <t>Presence</t>
        </is>
      </c>
      <c r="D23" s="63" t="inlineStr">
        <is>
          <t>Ring</t>
        </is>
      </c>
      <c r="E23" s="60" t="inlineStr">
        <is>
          <t>Standalone</t>
        </is>
      </c>
      <c r="F23" s="64" t="n"/>
      <c r="G23" s="51" t="n">
        <v>3</v>
      </c>
      <c r="H23" s="51" t="n">
        <v>40</v>
      </c>
      <c r="I23" s="51" t="n">
        <v>105</v>
      </c>
      <c r="J23" s="49" t="n">
        <v>0.62</v>
      </c>
      <c r="K23" s="49" t="n">
        <v>0.1</v>
      </c>
      <c r="L23" s="52" t="n">
        <v>180</v>
      </c>
      <c r="M23" s="52" t="n">
        <v>40</v>
      </c>
      <c r="N23" s="52" t="n">
        <v>0</v>
      </c>
      <c r="O23" s="52" t="n">
        <v>8700</v>
      </c>
      <c r="P23" s="52" t="n">
        <v>27</v>
      </c>
      <c r="Q23" s="60" t="n">
        <v>60</v>
      </c>
      <c r="R23" s="52" t="n">
        <v>590</v>
      </c>
      <c r="S23" s="50" t="n">
        <v>0.003</v>
      </c>
      <c r="T23" s="65">
        <f>H23*I23</f>
        <v/>
      </c>
      <c r="U23" s="56">
        <f>MAX(T23/J23,T23/(1-K23-Assumptions!$B$11))</f>
        <v/>
      </c>
      <c r="V23" s="65">
        <f>K23*U23</f>
        <v/>
      </c>
      <c r="W23" s="65">
        <f>T23+V23</f>
        <v/>
      </c>
      <c r="X23" s="65">
        <f>U23-W23</f>
        <v/>
      </c>
      <c r="Y23" s="66">
        <f>W23/U23</f>
        <v/>
      </c>
      <c r="Z23" s="57">
        <f>INDEX(Hosts!$B$2:$B$6,MATCH(E23,Hosts!$A$2:$A$6,0))</f>
        <v/>
      </c>
      <c r="AA23" s="57">
        <f>L23*IF(E23="Standalone",1,Assumptions!$B$10)*(1+Assumptions!$B$2)</f>
        <v/>
      </c>
      <c r="AB23" s="67">
        <f>U23*(AA23+M23)</f>
        <v/>
      </c>
      <c r="AC23" s="67">
        <f>H23*O23*(1-Assumptions!$B$33)+N23+Z23</f>
        <v/>
      </c>
      <c r="AD23" s="57">
        <f>U23*P23*(1+Assumptions!$B$2)</f>
        <v/>
      </c>
      <c r="AE23" s="57">
        <f>U23*M23*Assumptions!$B$3</f>
        <v/>
      </c>
      <c r="AF23" s="57">
        <f>H23*Assumptions!$B$26</f>
        <v/>
      </c>
      <c r="AG23" s="67">
        <f>H23*R23</f>
        <v/>
      </c>
      <c r="AH23" s="67">
        <f>AB23*S23</f>
        <v/>
      </c>
      <c r="AI23" s="57">
        <f>H23*Q23*Assumptions!$B$14*Assumptions!$B$13*Assumptions!$B$12</f>
        <v/>
      </c>
      <c r="AJ23" s="67">
        <f>AC23-AD23-AE23-AS23-AF23+AG23+AH23+AI23+Assumptions!$B$29</f>
        <v/>
      </c>
      <c r="AK23" s="57">
        <f>Assumptions!$B$8*AB23*(1-Assumptions!$B$9)*Assumptions!$B$24</f>
        <v/>
      </c>
      <c r="AL23" s="68">
        <f>AJ23/AK23</f>
        <v/>
      </c>
      <c r="AM23" s="66">
        <f>AJ23/AB23</f>
        <v/>
      </c>
      <c r="AN23" s="57">
        <f>AB23*Assumptions!$B$9</f>
        <v/>
      </c>
      <c r="AO23" s="57">
        <f>Assumptions!$B$8*AB23*(1-Assumptions!$B$9)</f>
        <v/>
      </c>
      <c r="AP23" s="67">
        <f>AB23-AN23-AO23</f>
        <v/>
      </c>
      <c r="AQ23" s="40">
        <f>U23*AA23</f>
        <v/>
      </c>
      <c r="AR23" s="40">
        <f>U23*M23</f>
        <v/>
      </c>
      <c r="AS23" s="40">
        <f>AR23*Assumptions!$B$44*Assumptions!$B$37</f>
        <v/>
      </c>
      <c r="AT23" s="40">
        <f>(AJ23-AR23*Assumptions!$B$44)/AK23</f>
        <v/>
      </c>
    </row>
    <row r="24" ht="15" customHeight="1" s="41">
      <c r="A24" s="46" t="inlineStr">
        <is>
          <t>Elgin</t>
        </is>
      </c>
      <c r="B24" s="46" t="inlineStr">
        <is>
          <t>Bastrop</t>
        </is>
      </c>
      <c r="C24" s="63" t="inlineStr">
        <is>
          <t>Presence</t>
        </is>
      </c>
      <c r="D24" s="63" t="inlineStr">
        <is>
          <t>Ring</t>
        </is>
      </c>
      <c r="E24" s="60" t="inlineStr">
        <is>
          <t>Standalone</t>
        </is>
      </c>
      <c r="F24" s="64" t="n"/>
      <c r="G24" s="51" t="n">
        <v>5</v>
      </c>
      <c r="H24" s="51" t="n">
        <v>40</v>
      </c>
      <c r="I24" s="51" t="n">
        <v>105</v>
      </c>
      <c r="J24" s="49" t="n">
        <v>0.62</v>
      </c>
      <c r="K24" s="49" t="n">
        <v>0.1</v>
      </c>
      <c r="L24" s="52" t="n">
        <v>180</v>
      </c>
      <c r="M24" s="52" t="n">
        <v>40</v>
      </c>
      <c r="N24" s="52" t="n">
        <v>0</v>
      </c>
      <c r="O24" s="52" t="n">
        <v>8700</v>
      </c>
      <c r="P24" s="52" t="n">
        <v>27</v>
      </c>
      <c r="Q24" s="60" t="n">
        <v>60</v>
      </c>
      <c r="R24" s="52" t="n">
        <v>590</v>
      </c>
      <c r="S24" s="50" t="n">
        <v>0.003</v>
      </c>
      <c r="T24" s="65">
        <f>H24*I24</f>
        <v/>
      </c>
      <c r="U24" s="56">
        <f>MAX(T24/J24,T24/(1-K24-Assumptions!$B$11))</f>
        <v/>
      </c>
      <c r="V24" s="65">
        <f>K24*U24</f>
        <v/>
      </c>
      <c r="W24" s="65">
        <f>T24+V24</f>
        <v/>
      </c>
      <c r="X24" s="65">
        <f>U24-W24</f>
        <v/>
      </c>
      <c r="Y24" s="66">
        <f>W24/U24</f>
        <v/>
      </c>
      <c r="Z24" s="57">
        <f>INDEX(Hosts!$B$2:$B$6,MATCH(E24,Hosts!$A$2:$A$6,0))</f>
        <v/>
      </c>
      <c r="AA24" s="57">
        <f>L24*IF(E24="Standalone",1,Assumptions!$B$10)*(1+Assumptions!$B$2)</f>
        <v/>
      </c>
      <c r="AB24" s="67">
        <f>U24*(AA24+M24)</f>
        <v/>
      </c>
      <c r="AC24" s="67">
        <f>H24*O24*(1-Assumptions!$B$33)+N24+Z24</f>
        <v/>
      </c>
      <c r="AD24" s="57">
        <f>U24*P24*(1+Assumptions!$B$2)</f>
        <v/>
      </c>
      <c r="AE24" s="57">
        <f>U24*M24*Assumptions!$B$3</f>
        <v/>
      </c>
      <c r="AF24" s="57">
        <f>H24*Assumptions!$B$26</f>
        <v/>
      </c>
      <c r="AG24" s="67">
        <f>H24*R24</f>
        <v/>
      </c>
      <c r="AH24" s="67">
        <f>AB24*S24</f>
        <v/>
      </c>
      <c r="AI24" s="57">
        <f>H24*Q24*Assumptions!$B$14*Assumptions!$B$13*Assumptions!$B$12</f>
        <v/>
      </c>
      <c r="AJ24" s="67">
        <f>AC24-AD24-AE24-AS24-AF24+AG24+AH24+AI24+Assumptions!$B$29</f>
        <v/>
      </c>
      <c r="AK24" s="57">
        <f>Assumptions!$B$8*AB24*(1-Assumptions!$B$9)*Assumptions!$B$24</f>
        <v/>
      </c>
      <c r="AL24" s="68">
        <f>AJ24/AK24</f>
        <v/>
      </c>
      <c r="AM24" s="66">
        <f>AJ24/AB24</f>
        <v/>
      </c>
      <c r="AN24" s="57">
        <f>AB24*Assumptions!$B$9</f>
        <v/>
      </c>
      <c r="AO24" s="57">
        <f>Assumptions!$B$8*AB24*(1-Assumptions!$B$9)</f>
        <v/>
      </c>
      <c r="AP24" s="67">
        <f>AB24-AN24-AO24</f>
        <v/>
      </c>
      <c r="AQ24" s="40">
        <f>U24*AA24</f>
        <v/>
      </c>
      <c r="AR24" s="40">
        <f>U24*M24</f>
        <v/>
      </c>
      <c r="AS24" s="40">
        <f>AR24*Assumptions!$B$44*Assumptions!$B$37</f>
        <v/>
      </c>
      <c r="AT24" s="40">
        <f>(AJ24-AR24*Assumptions!$B$44)/AK24</f>
        <v/>
      </c>
    </row>
    <row r="25" ht="15" customHeight="1" s="41">
      <c r="A25" s="46" t="inlineStr">
        <is>
          <t>Lockhart</t>
        </is>
      </c>
      <c r="B25" s="46" t="inlineStr">
        <is>
          <t>Caldwell</t>
        </is>
      </c>
      <c r="C25" s="63" t="inlineStr">
        <is>
          <t>Presence</t>
        </is>
      </c>
      <c r="D25" s="63" t="inlineStr">
        <is>
          <t>Ring</t>
        </is>
      </c>
      <c r="E25" s="60" t="inlineStr">
        <is>
          <t>Standalone</t>
        </is>
      </c>
      <c r="F25" s="64" t="n"/>
      <c r="G25" s="51" t="n">
        <v>5</v>
      </c>
      <c r="H25" s="51" t="n">
        <v>40</v>
      </c>
      <c r="I25" s="51" t="n">
        <v>105</v>
      </c>
      <c r="J25" s="49" t="n">
        <v>0.62</v>
      </c>
      <c r="K25" s="49" t="n">
        <v>0.1</v>
      </c>
      <c r="L25" s="52" t="n">
        <v>180</v>
      </c>
      <c r="M25" s="52" t="n">
        <v>40</v>
      </c>
      <c r="N25" s="52" t="n">
        <v>0</v>
      </c>
      <c r="O25" s="52" t="n">
        <v>8700</v>
      </c>
      <c r="P25" s="52" t="n">
        <v>27</v>
      </c>
      <c r="Q25" s="60" t="n">
        <v>60</v>
      </c>
      <c r="R25" s="52" t="n">
        <v>590</v>
      </c>
      <c r="S25" s="50" t="n">
        <v>0.003</v>
      </c>
      <c r="T25" s="65">
        <f>H25*I25</f>
        <v/>
      </c>
      <c r="U25" s="56">
        <f>MAX(T25/J25,T25/(1-K25-Assumptions!$B$11))</f>
        <v/>
      </c>
      <c r="V25" s="65">
        <f>K25*U25</f>
        <v/>
      </c>
      <c r="W25" s="65">
        <f>T25+V25</f>
        <v/>
      </c>
      <c r="X25" s="65">
        <f>U25-W25</f>
        <v/>
      </c>
      <c r="Y25" s="66">
        <f>W25/U25</f>
        <v/>
      </c>
      <c r="Z25" s="57">
        <f>INDEX(Hosts!$B$2:$B$6,MATCH(E25,Hosts!$A$2:$A$6,0))</f>
        <v/>
      </c>
      <c r="AA25" s="57">
        <f>L25*IF(E25="Standalone",1,Assumptions!$B$10)*(1+Assumptions!$B$2)</f>
        <v/>
      </c>
      <c r="AB25" s="67">
        <f>U25*(AA25+M25)</f>
        <v/>
      </c>
      <c r="AC25" s="67">
        <f>H25*O25*(1-Assumptions!$B$33)+N25+Z25</f>
        <v/>
      </c>
      <c r="AD25" s="57">
        <f>U25*P25*(1+Assumptions!$B$2)</f>
        <v/>
      </c>
      <c r="AE25" s="57">
        <f>U25*M25*Assumptions!$B$3</f>
        <v/>
      </c>
      <c r="AF25" s="57">
        <f>H25*Assumptions!$B$26</f>
        <v/>
      </c>
      <c r="AG25" s="67">
        <f>H25*R25</f>
        <v/>
      </c>
      <c r="AH25" s="67">
        <f>AB25*S25</f>
        <v/>
      </c>
      <c r="AI25" s="57">
        <f>H25*Q25*Assumptions!$B$14*Assumptions!$B$13*Assumptions!$B$12</f>
        <v/>
      </c>
      <c r="AJ25" s="67">
        <f>AC25-AD25-AE25-AS25-AF25+AG25+AH25+AI25+Assumptions!$B$29</f>
        <v/>
      </c>
      <c r="AK25" s="57">
        <f>Assumptions!$B$8*AB25*(1-Assumptions!$B$9)*Assumptions!$B$24</f>
        <v/>
      </c>
      <c r="AL25" s="68">
        <f>AJ25/AK25</f>
        <v/>
      </c>
      <c r="AM25" s="66">
        <f>AJ25/AB25</f>
        <v/>
      </c>
      <c r="AN25" s="57">
        <f>AB25*Assumptions!$B$9</f>
        <v/>
      </c>
      <c r="AO25" s="57">
        <f>Assumptions!$B$8*AB25*(1-Assumptions!$B$9)</f>
        <v/>
      </c>
      <c r="AP25" s="67">
        <f>AB25-AN25-AO25</f>
        <v/>
      </c>
      <c r="AQ25" s="40">
        <f>U25*AA25</f>
        <v/>
      </c>
      <c r="AR25" s="40">
        <f>U25*M25</f>
        <v/>
      </c>
      <c r="AS25" s="40">
        <f>AR25*Assumptions!$B$44*Assumptions!$B$37</f>
        <v/>
      </c>
      <c r="AT25" s="40">
        <f>(AJ25-AR25*Assumptions!$B$44)/AK25</f>
        <v/>
      </c>
    </row>
    <row r="26" ht="15" customHeight="1" s="41">
      <c r="A26" s="46" t="inlineStr">
        <is>
          <t>Marble Falls</t>
        </is>
      </c>
      <c r="B26" s="46" t="inlineStr">
        <is>
          <t>Burnet</t>
        </is>
      </c>
      <c r="C26" s="63" t="inlineStr">
        <is>
          <t>Presence</t>
        </is>
      </c>
      <c r="D26" s="63" t="inlineStr">
        <is>
          <t>Ring</t>
        </is>
      </c>
      <c r="E26" s="60" t="inlineStr">
        <is>
          <t>Standalone</t>
        </is>
      </c>
      <c r="F26" s="64" t="n"/>
      <c r="G26" s="51" t="n">
        <v>5</v>
      </c>
      <c r="H26" s="51" t="n">
        <v>40</v>
      </c>
      <c r="I26" s="51" t="n">
        <v>105</v>
      </c>
      <c r="J26" s="49" t="n">
        <v>0.62</v>
      </c>
      <c r="K26" s="49" t="n">
        <v>0.1</v>
      </c>
      <c r="L26" s="52" t="n">
        <v>180</v>
      </c>
      <c r="M26" s="52" t="n">
        <v>40</v>
      </c>
      <c r="N26" s="52" t="n">
        <v>0</v>
      </c>
      <c r="O26" s="52" t="n">
        <v>8700</v>
      </c>
      <c r="P26" s="52" t="n">
        <v>27</v>
      </c>
      <c r="Q26" s="60" t="n">
        <v>60</v>
      </c>
      <c r="R26" s="52" t="n">
        <v>590</v>
      </c>
      <c r="S26" s="50" t="n">
        <v>0.003</v>
      </c>
      <c r="T26" s="65">
        <f>H26*I26</f>
        <v/>
      </c>
      <c r="U26" s="56">
        <f>MAX(T26/J26,T26/(1-K26-Assumptions!$B$11))</f>
        <v/>
      </c>
      <c r="V26" s="65">
        <f>K26*U26</f>
        <v/>
      </c>
      <c r="W26" s="65">
        <f>T26+V26</f>
        <v/>
      </c>
      <c r="X26" s="65">
        <f>U26-W26</f>
        <v/>
      </c>
      <c r="Y26" s="66">
        <f>W26/U26</f>
        <v/>
      </c>
      <c r="Z26" s="57">
        <f>INDEX(Hosts!$B$2:$B$6,MATCH(E26,Hosts!$A$2:$A$6,0))</f>
        <v/>
      </c>
      <c r="AA26" s="57">
        <f>L26*IF(E26="Standalone",1,Assumptions!$B$10)*(1+Assumptions!$B$2)</f>
        <v/>
      </c>
      <c r="AB26" s="67">
        <f>U26*(AA26+M26)</f>
        <v/>
      </c>
      <c r="AC26" s="67">
        <f>H26*O26*(1-Assumptions!$B$33)+N26+Z26</f>
        <v/>
      </c>
      <c r="AD26" s="57">
        <f>U26*P26*(1+Assumptions!$B$2)</f>
        <v/>
      </c>
      <c r="AE26" s="57">
        <f>U26*M26*Assumptions!$B$3</f>
        <v/>
      </c>
      <c r="AF26" s="57">
        <f>H26*Assumptions!$B$26</f>
        <v/>
      </c>
      <c r="AG26" s="67">
        <f>H26*R26</f>
        <v/>
      </c>
      <c r="AH26" s="67">
        <f>AB26*S26</f>
        <v/>
      </c>
      <c r="AI26" s="57">
        <f>H26*Q26*Assumptions!$B$14*Assumptions!$B$13*Assumptions!$B$12</f>
        <v/>
      </c>
      <c r="AJ26" s="67">
        <f>AC26-AD26-AE26-AS26-AF26+AG26+AH26+AI26+Assumptions!$B$29</f>
        <v/>
      </c>
      <c r="AK26" s="57">
        <f>Assumptions!$B$8*AB26*(1-Assumptions!$B$9)*Assumptions!$B$24</f>
        <v/>
      </c>
      <c r="AL26" s="68">
        <f>AJ26/AK26</f>
        <v/>
      </c>
      <c r="AM26" s="66">
        <f>AJ26/AB26</f>
        <v/>
      </c>
      <c r="AN26" s="57">
        <f>AB26*Assumptions!$B$9</f>
        <v/>
      </c>
      <c r="AO26" s="57">
        <f>Assumptions!$B$8*AB26*(1-Assumptions!$B$9)</f>
        <v/>
      </c>
      <c r="AP26" s="67">
        <f>AB26-AN26-AO26</f>
        <v/>
      </c>
      <c r="AQ26" s="40">
        <f>U26*AA26</f>
        <v/>
      </c>
      <c r="AR26" s="40">
        <f>U26*M26</f>
        <v/>
      </c>
      <c r="AS26" s="40">
        <f>AR26*Assumptions!$B$44*Assumptions!$B$37</f>
        <v/>
      </c>
      <c r="AT26" s="40">
        <f>(AJ26-AR26*Assumptions!$B$44)/AK26</f>
        <v/>
      </c>
    </row>
    <row r="27" ht="15" customHeight="1" s="41">
      <c r="A27" s="45" t="inlineStr">
        <is>
          <t>NETWORK</t>
        </is>
      </c>
      <c r="H27" s="69">
        <f>SUM(H2:H26)</f>
        <v/>
      </c>
      <c r="AB27" s="70">
        <f>SUM(AB2:AB26)</f>
        <v/>
      </c>
      <c r="AC27" s="70">
        <f>SUM(AC2:AC26)</f>
        <v/>
      </c>
      <c r="AJ27" s="70">
        <f>SUM(AJ2:AJ26)</f>
        <v/>
      </c>
      <c r="AK27" s="70">
        <f>SUM(AK2:AK26)</f>
        <v/>
      </c>
      <c r="AN27" s="70">
        <f>SUM(AN2:AN26)</f>
        <v/>
      </c>
      <c r="AO27" s="70">
        <f>SUM(AO2:AO26)</f>
        <v/>
      </c>
      <c r="AP27" s="70">
        <f>SUM(AP2:AP26)</f>
        <v/>
      </c>
      <c r="AQ27" s="40">
        <f>SUM(AQ2:AQ26)</f>
        <v/>
      </c>
      <c r="AR27" s="40">
        <f>SUM(AR2:AR26)</f>
        <v/>
      </c>
      <c r="AS27" s="40">
        <f>SUM(AS2:AS26)</f>
        <v/>
      </c>
      <c r="AT27" s="40">
        <f>(AJ27-AR27*Assumptions!$B$44)/AK27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K1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3" customWidth="1" style="40" min="1" max="11"/>
  </cols>
  <sheetData>
    <row r="1" ht="30" customHeight="1" s="41">
      <c r="A1" s="48" t="inlineStr">
        <is>
          <t>Year</t>
        </is>
      </c>
      <c r="B1" s="48" t="inlineStr">
        <is>
          <t>New starts</t>
        </is>
      </c>
      <c r="C1" s="48" t="inlineStr">
        <is>
          <t>Active hubs</t>
        </is>
      </c>
      <c r="D1" s="48" t="inlineStr">
        <is>
          <t>Enclaves</t>
        </is>
      </c>
      <c r="E1" s="48" t="inlineStr">
        <is>
          <t>Gross CapEx</t>
        </is>
      </c>
      <c r="F1" s="48" t="inlineStr">
        <is>
          <t>Construct leverage</t>
        </is>
      </c>
      <c r="G1" s="48" t="inlineStr">
        <is>
          <t>LP equity call</t>
        </is>
      </c>
      <c r="H1" s="48" t="inlineStr">
        <is>
          <t>Annual debt svc</t>
        </is>
      </c>
      <c r="I1" s="48" t="inlineStr">
        <is>
          <t>NOI (lease-up)</t>
        </is>
      </c>
      <c r="J1" s="48" t="inlineStr">
        <is>
          <t>Net cash flow</t>
        </is>
      </c>
      <c r="K1" s="48" t="inlineStr">
        <is>
          <t>Cumulative</t>
        </is>
      </c>
    </row>
    <row r="2" ht="15" customHeight="1" s="41">
      <c r="A2" s="65" t="n">
        <v>1</v>
      </c>
      <c r="B2" s="71">
        <f>COUNTIF('Per-Center'!$G$2:$G$26,$A2)</f>
        <v/>
      </c>
      <c r="C2" s="71">
        <f>COUNTIF('Per-Center'!$G$2:$G$26,"&lt;="&amp;$A2)</f>
        <v/>
      </c>
      <c r="D2" s="56">
        <f>SUMIFS('Per-Center'!$H$2:$H$26,'Per-Center'!$G$2:$G$26,"&lt;="&amp;$A2)</f>
        <v/>
      </c>
      <c r="E2" s="57">
        <f>SUMIFS('Per-Center'!$AB$2:$AB$26,'Per-Center'!$G$2:$G$26,$A2)</f>
        <v/>
      </c>
      <c r="F2" s="67">
        <f>E2*Assumptions!$B$8*(1-Assumptions!$B$9)</f>
        <v/>
      </c>
      <c r="G2" s="67">
        <f>E2-E2*Assumptions!$B$9-F2</f>
        <v/>
      </c>
      <c r="H2" s="57">
        <f>SUMIFS('Per-Center'!$AK$2:$AK$26,'Per-Center'!$G$2:$G$26,"&lt;="&amp;$A2)</f>
        <v/>
      </c>
      <c r="I2" s="57">
        <f>SUMPRODUCT((($A2-'Per-Center'!$G$2:$G$26+1)&gt;=1)*0.5+(($A2-'Per-Center'!$G$2:$G$26+1)&gt;=2)*0.25+(($A2-'Per-Center'!$G$2:$G$26+1)&gt;=3)*0.25,'Per-Center'!$AC$2:$AC$26)-SUMPRODUCT((($A2-'Per-Center'!$G$2:$G$26+1)&gt;=1)*1,('Per-Center'!$AD$2:$AD$26+'Per-Center'!$AE$2:$AE$26+'Per-Center'!$AF$2:$AF$26))+SUMPRODUCT((($A2-'Per-Center'!$G$2:$G$26+1)&gt;=1)*1,('Per-Center'!$AG$2:$AG$26+'Per-Center'!$AH$2:$AH$26+'Per-Center'!$AI$2:$AI$26))+C2*Assumptions!$B$29</f>
        <v/>
      </c>
      <c r="J2" s="67">
        <f>I2-H2-G2</f>
        <v/>
      </c>
      <c r="K2" s="67">
        <f>J2</f>
        <v/>
      </c>
    </row>
    <row r="3" ht="15" customHeight="1" s="41">
      <c r="A3" s="65" t="n">
        <v>2</v>
      </c>
      <c r="B3" s="71">
        <f>COUNTIF('Per-Center'!$G$2:$G$26,$A3)</f>
        <v/>
      </c>
      <c r="C3" s="71">
        <f>COUNTIF('Per-Center'!$G$2:$G$26,"&lt;="&amp;$A3)</f>
        <v/>
      </c>
      <c r="D3" s="56">
        <f>SUMIFS('Per-Center'!$H$2:$H$26,'Per-Center'!$G$2:$G$26,"&lt;="&amp;$A3)</f>
        <v/>
      </c>
      <c r="E3" s="57">
        <f>SUMIFS('Per-Center'!$AB$2:$AB$26,'Per-Center'!$G$2:$G$26,$A3)</f>
        <v/>
      </c>
      <c r="F3" s="67">
        <f>E3*Assumptions!$B$8*(1-Assumptions!$B$9)</f>
        <v/>
      </c>
      <c r="G3" s="67">
        <f>E3-E3*Assumptions!$B$9-F3</f>
        <v/>
      </c>
      <c r="H3" s="57">
        <f>SUMIFS('Per-Center'!$AK$2:$AK$26,'Per-Center'!$G$2:$G$26,"&lt;="&amp;$A3)</f>
        <v/>
      </c>
      <c r="I3" s="57">
        <f>SUMPRODUCT((($A3-'Per-Center'!$G$2:$G$26+1)&gt;=1)*0.5+(($A3-'Per-Center'!$G$2:$G$26+1)&gt;=2)*0.25+(($A3-'Per-Center'!$G$2:$G$26+1)&gt;=3)*0.25,'Per-Center'!$AC$2:$AC$26)-SUMPRODUCT((($A3-'Per-Center'!$G$2:$G$26+1)&gt;=1)*1,('Per-Center'!$AD$2:$AD$26+'Per-Center'!$AE$2:$AE$26+'Per-Center'!$AF$2:$AF$26))+SUMPRODUCT((($A3-'Per-Center'!$G$2:$G$26+1)&gt;=1)*1,('Per-Center'!$AG$2:$AG$26+'Per-Center'!$AH$2:$AH$26+'Per-Center'!$AI$2:$AI$26))+C3*Assumptions!$B$29</f>
        <v/>
      </c>
      <c r="J3" s="67">
        <f>I3-H3-G3</f>
        <v/>
      </c>
      <c r="K3" s="67">
        <f>K2+J3</f>
        <v/>
      </c>
    </row>
    <row r="4" ht="15" customHeight="1" s="41">
      <c r="A4" s="65" t="n">
        <v>3</v>
      </c>
      <c r="B4" s="71">
        <f>COUNTIF('Per-Center'!$G$2:$G$26,$A4)</f>
        <v/>
      </c>
      <c r="C4" s="71">
        <f>COUNTIF('Per-Center'!$G$2:$G$26,"&lt;="&amp;$A4)</f>
        <v/>
      </c>
      <c r="D4" s="56">
        <f>SUMIFS('Per-Center'!$H$2:$H$26,'Per-Center'!$G$2:$G$26,"&lt;="&amp;$A4)</f>
        <v/>
      </c>
      <c r="E4" s="57">
        <f>SUMIFS('Per-Center'!$AB$2:$AB$26,'Per-Center'!$G$2:$G$26,$A4)</f>
        <v/>
      </c>
      <c r="F4" s="67">
        <f>E4*Assumptions!$B$8*(1-Assumptions!$B$9)</f>
        <v/>
      </c>
      <c r="G4" s="67">
        <f>E4-E4*Assumptions!$B$9-F4</f>
        <v/>
      </c>
      <c r="H4" s="57">
        <f>SUMIFS('Per-Center'!$AK$2:$AK$26,'Per-Center'!$G$2:$G$26,"&lt;="&amp;$A4)</f>
        <v/>
      </c>
      <c r="I4" s="57">
        <f>SUMPRODUCT((($A4-'Per-Center'!$G$2:$G$26+1)&gt;=1)*0.5+(($A4-'Per-Center'!$G$2:$G$26+1)&gt;=2)*0.25+(($A4-'Per-Center'!$G$2:$G$26+1)&gt;=3)*0.25,'Per-Center'!$AC$2:$AC$26)-SUMPRODUCT((($A4-'Per-Center'!$G$2:$G$26+1)&gt;=1)*1,('Per-Center'!$AD$2:$AD$26+'Per-Center'!$AE$2:$AE$26+'Per-Center'!$AF$2:$AF$26))+SUMPRODUCT((($A4-'Per-Center'!$G$2:$G$26+1)&gt;=1)*1,('Per-Center'!$AG$2:$AG$26+'Per-Center'!$AH$2:$AH$26+'Per-Center'!$AI$2:$AI$26))+C4*Assumptions!$B$29</f>
        <v/>
      </c>
      <c r="J4" s="67">
        <f>I4-H4-G4</f>
        <v/>
      </c>
      <c r="K4" s="67">
        <f>K3+J4</f>
        <v/>
      </c>
    </row>
    <row r="5" ht="15" customHeight="1" s="41">
      <c r="A5" s="65" t="n">
        <v>4</v>
      </c>
      <c r="B5" s="71">
        <f>COUNTIF('Per-Center'!$G$2:$G$26,$A5)</f>
        <v/>
      </c>
      <c r="C5" s="71">
        <f>COUNTIF('Per-Center'!$G$2:$G$26,"&lt;="&amp;$A5)</f>
        <v/>
      </c>
      <c r="D5" s="56">
        <f>SUMIFS('Per-Center'!$H$2:$H$26,'Per-Center'!$G$2:$G$26,"&lt;="&amp;$A5)</f>
        <v/>
      </c>
      <c r="E5" s="57">
        <f>SUMIFS('Per-Center'!$AB$2:$AB$26,'Per-Center'!$G$2:$G$26,$A5)</f>
        <v/>
      </c>
      <c r="F5" s="67">
        <f>E5*Assumptions!$B$8*(1-Assumptions!$B$9)</f>
        <v/>
      </c>
      <c r="G5" s="67">
        <f>E5-E5*Assumptions!$B$9-F5</f>
        <v/>
      </c>
      <c r="H5" s="57">
        <f>SUMIFS('Per-Center'!$AK$2:$AK$26,'Per-Center'!$G$2:$G$26,"&lt;="&amp;$A5)</f>
        <v/>
      </c>
      <c r="I5" s="57">
        <f>SUMPRODUCT((($A5-'Per-Center'!$G$2:$G$26+1)&gt;=1)*0.5+(($A5-'Per-Center'!$G$2:$G$26+1)&gt;=2)*0.25+(($A5-'Per-Center'!$G$2:$G$26+1)&gt;=3)*0.25,'Per-Center'!$AC$2:$AC$26)-SUMPRODUCT((($A5-'Per-Center'!$G$2:$G$26+1)&gt;=1)*1,('Per-Center'!$AD$2:$AD$26+'Per-Center'!$AE$2:$AE$26+'Per-Center'!$AF$2:$AF$26))+SUMPRODUCT((($A5-'Per-Center'!$G$2:$G$26+1)&gt;=1)*1,('Per-Center'!$AG$2:$AG$26+'Per-Center'!$AH$2:$AH$26+'Per-Center'!$AI$2:$AI$26))+C5*Assumptions!$B$29</f>
        <v/>
      </c>
      <c r="J5" s="67">
        <f>I5-H5-G5</f>
        <v/>
      </c>
      <c r="K5" s="67">
        <f>K4+J5</f>
        <v/>
      </c>
    </row>
    <row r="6" ht="15" customHeight="1" s="41">
      <c r="A6" s="65" t="n">
        <v>5</v>
      </c>
      <c r="B6" s="71">
        <f>COUNTIF('Per-Center'!$G$2:$G$26,$A6)</f>
        <v/>
      </c>
      <c r="C6" s="71">
        <f>COUNTIF('Per-Center'!$G$2:$G$26,"&lt;="&amp;$A6)</f>
        <v/>
      </c>
      <c r="D6" s="56">
        <f>SUMIFS('Per-Center'!$H$2:$H$26,'Per-Center'!$G$2:$G$26,"&lt;="&amp;$A6)</f>
        <v/>
      </c>
      <c r="E6" s="57">
        <f>SUMIFS('Per-Center'!$AB$2:$AB$26,'Per-Center'!$G$2:$G$26,$A6)</f>
        <v/>
      </c>
      <c r="F6" s="67">
        <f>E6*Assumptions!$B$8*(1-Assumptions!$B$9)</f>
        <v/>
      </c>
      <c r="G6" s="67">
        <f>E6-E6*Assumptions!$B$9-F6</f>
        <v/>
      </c>
      <c r="H6" s="57">
        <f>SUMIFS('Per-Center'!$AK$2:$AK$26,'Per-Center'!$G$2:$G$26,"&lt;="&amp;$A6)</f>
        <v/>
      </c>
      <c r="I6" s="57">
        <f>SUMPRODUCT((($A6-'Per-Center'!$G$2:$G$26+1)&gt;=1)*0.5+(($A6-'Per-Center'!$G$2:$G$26+1)&gt;=2)*0.25+(($A6-'Per-Center'!$G$2:$G$26+1)&gt;=3)*0.25,'Per-Center'!$AC$2:$AC$26)-SUMPRODUCT((($A6-'Per-Center'!$G$2:$G$26+1)&gt;=1)*1,('Per-Center'!$AD$2:$AD$26+'Per-Center'!$AE$2:$AE$26+'Per-Center'!$AF$2:$AF$26))+SUMPRODUCT((($A6-'Per-Center'!$G$2:$G$26+1)&gt;=1)*1,('Per-Center'!$AG$2:$AG$26+'Per-Center'!$AH$2:$AH$26+'Per-Center'!$AI$2:$AI$26))+C6*Assumptions!$B$29</f>
        <v/>
      </c>
      <c r="J6" s="67">
        <f>I6-H6-G6</f>
        <v/>
      </c>
      <c r="K6" s="67">
        <f>K5+J6</f>
        <v/>
      </c>
    </row>
    <row r="7" ht="15" customHeight="1" s="41">
      <c r="A7" s="65" t="n">
        <v>6</v>
      </c>
      <c r="B7" s="71">
        <f>COUNTIF('Per-Center'!$G$2:$G$26,$A7)</f>
        <v/>
      </c>
      <c r="C7" s="71">
        <f>COUNTIF('Per-Center'!$G$2:$G$26,"&lt;="&amp;$A7)</f>
        <v/>
      </c>
      <c r="D7" s="56">
        <f>SUMIFS('Per-Center'!$H$2:$H$26,'Per-Center'!$G$2:$G$26,"&lt;="&amp;$A7)</f>
        <v/>
      </c>
      <c r="E7" s="57">
        <f>SUMIFS('Per-Center'!$AB$2:$AB$26,'Per-Center'!$G$2:$G$26,$A7)</f>
        <v/>
      </c>
      <c r="F7" s="67">
        <f>E7*Assumptions!$B$8*(1-Assumptions!$B$9)</f>
        <v/>
      </c>
      <c r="G7" s="67">
        <f>E7-E7*Assumptions!$B$9-F7</f>
        <v/>
      </c>
      <c r="H7" s="57">
        <f>SUMIFS('Per-Center'!$AK$2:$AK$26,'Per-Center'!$G$2:$G$26,"&lt;="&amp;$A7)</f>
        <v/>
      </c>
      <c r="I7" s="57">
        <f>SUMPRODUCT((($A7-'Per-Center'!$G$2:$G$26+1)&gt;=1)*0.5+(($A7-'Per-Center'!$G$2:$G$26+1)&gt;=2)*0.25+(($A7-'Per-Center'!$G$2:$G$26+1)&gt;=3)*0.25,'Per-Center'!$AC$2:$AC$26)-SUMPRODUCT((($A7-'Per-Center'!$G$2:$G$26+1)&gt;=1)*1,('Per-Center'!$AD$2:$AD$26+'Per-Center'!$AE$2:$AE$26+'Per-Center'!$AF$2:$AF$26))+SUMPRODUCT((($A7-'Per-Center'!$G$2:$G$26+1)&gt;=1)*1,('Per-Center'!$AG$2:$AG$26+'Per-Center'!$AH$2:$AH$26+'Per-Center'!$AI$2:$AI$26))+C7*Assumptions!$B$29</f>
        <v/>
      </c>
      <c r="J7" s="67">
        <f>I7-H7-G7</f>
        <v/>
      </c>
      <c r="K7" s="67">
        <f>K6+J7</f>
        <v/>
      </c>
    </row>
    <row r="8" ht="15" customHeight="1" s="41">
      <c r="A8" s="65" t="n">
        <v>7</v>
      </c>
      <c r="B8" s="71">
        <f>COUNTIF('Per-Center'!$G$2:$G$26,$A8)</f>
        <v/>
      </c>
      <c r="C8" s="71">
        <f>COUNTIF('Per-Center'!$G$2:$G$26,"&lt;="&amp;$A8)</f>
        <v/>
      </c>
      <c r="D8" s="56">
        <f>SUMIFS('Per-Center'!$H$2:$H$26,'Per-Center'!$G$2:$G$26,"&lt;="&amp;$A8)</f>
        <v/>
      </c>
      <c r="E8" s="57">
        <f>SUMIFS('Per-Center'!$AB$2:$AB$26,'Per-Center'!$G$2:$G$26,$A8)</f>
        <v/>
      </c>
      <c r="F8" s="67">
        <f>E8*Assumptions!$B$8*(1-Assumptions!$B$9)</f>
        <v/>
      </c>
      <c r="G8" s="67">
        <f>E8-E8*Assumptions!$B$9-F8</f>
        <v/>
      </c>
      <c r="H8" s="57">
        <f>SUMIFS('Per-Center'!$AK$2:$AK$26,'Per-Center'!$G$2:$G$26,"&lt;="&amp;$A8)</f>
        <v/>
      </c>
      <c r="I8" s="57">
        <f>SUMPRODUCT((($A8-'Per-Center'!$G$2:$G$26+1)&gt;=1)*0.5+(($A8-'Per-Center'!$G$2:$G$26+1)&gt;=2)*0.25+(($A8-'Per-Center'!$G$2:$G$26+1)&gt;=3)*0.25,'Per-Center'!$AC$2:$AC$26)-SUMPRODUCT((($A8-'Per-Center'!$G$2:$G$26+1)&gt;=1)*1,('Per-Center'!$AD$2:$AD$26+'Per-Center'!$AE$2:$AE$26+'Per-Center'!$AF$2:$AF$26))+SUMPRODUCT((($A8-'Per-Center'!$G$2:$G$26+1)&gt;=1)*1,('Per-Center'!$AG$2:$AG$26+'Per-Center'!$AH$2:$AH$26+'Per-Center'!$AI$2:$AI$26))+C8*Assumptions!$B$29</f>
        <v/>
      </c>
      <c r="J8" s="67">
        <f>I8-H8-G8</f>
        <v/>
      </c>
      <c r="K8" s="67">
        <f>K7+J8</f>
        <v/>
      </c>
    </row>
    <row r="9" ht="15" customHeight="1" s="41">
      <c r="A9" s="65" t="n">
        <v>8</v>
      </c>
      <c r="B9" s="71">
        <f>COUNTIF('Per-Center'!$G$2:$G$26,$A9)</f>
        <v/>
      </c>
      <c r="C9" s="71">
        <f>COUNTIF('Per-Center'!$G$2:$G$26,"&lt;="&amp;$A9)</f>
        <v/>
      </c>
      <c r="D9" s="56">
        <f>SUMIFS('Per-Center'!$H$2:$H$26,'Per-Center'!$G$2:$G$26,"&lt;="&amp;$A9)</f>
        <v/>
      </c>
      <c r="E9" s="57">
        <f>SUMIFS('Per-Center'!$AB$2:$AB$26,'Per-Center'!$G$2:$G$26,$A9)</f>
        <v/>
      </c>
      <c r="F9" s="67">
        <f>E9*Assumptions!$B$8*(1-Assumptions!$B$9)</f>
        <v/>
      </c>
      <c r="G9" s="67">
        <f>E9-E9*Assumptions!$B$9-F9</f>
        <v/>
      </c>
      <c r="H9" s="57">
        <f>SUMIFS('Per-Center'!$AK$2:$AK$26,'Per-Center'!$G$2:$G$26,"&lt;="&amp;$A9)</f>
        <v/>
      </c>
      <c r="I9" s="57">
        <f>SUMPRODUCT((($A9-'Per-Center'!$G$2:$G$26+1)&gt;=1)*0.5+(($A9-'Per-Center'!$G$2:$G$26+1)&gt;=2)*0.25+(($A9-'Per-Center'!$G$2:$G$26+1)&gt;=3)*0.25,'Per-Center'!$AC$2:$AC$26)-SUMPRODUCT((($A9-'Per-Center'!$G$2:$G$26+1)&gt;=1)*1,('Per-Center'!$AD$2:$AD$26+'Per-Center'!$AE$2:$AE$26+'Per-Center'!$AF$2:$AF$26))+SUMPRODUCT((($A9-'Per-Center'!$G$2:$G$26+1)&gt;=1)*1,('Per-Center'!$AG$2:$AG$26+'Per-Center'!$AH$2:$AH$26+'Per-Center'!$AI$2:$AI$26))+C9*Assumptions!$B$29</f>
        <v/>
      </c>
      <c r="J9" s="67">
        <f>I9-H9-G9</f>
        <v/>
      </c>
      <c r="K9" s="67">
        <f>K8+J9</f>
        <v/>
      </c>
    </row>
    <row r="10" ht="15" customHeight="1" s="41">
      <c r="A10" s="65" t="n">
        <v>9</v>
      </c>
      <c r="B10" s="71">
        <f>COUNTIF('Per-Center'!$G$2:$G$26,$A10)</f>
        <v/>
      </c>
      <c r="C10" s="71">
        <f>COUNTIF('Per-Center'!$G$2:$G$26,"&lt;="&amp;$A10)</f>
        <v/>
      </c>
      <c r="D10" s="56">
        <f>SUMIFS('Per-Center'!$H$2:$H$26,'Per-Center'!$G$2:$G$26,"&lt;="&amp;$A10)</f>
        <v/>
      </c>
      <c r="E10" s="57">
        <f>SUMIFS('Per-Center'!$AB$2:$AB$26,'Per-Center'!$G$2:$G$26,$A10)</f>
        <v/>
      </c>
      <c r="F10" s="67">
        <f>E10*Assumptions!$B$8*(1-Assumptions!$B$9)</f>
        <v/>
      </c>
      <c r="G10" s="67">
        <f>E10-E10*Assumptions!$B$9-F10</f>
        <v/>
      </c>
      <c r="H10" s="57">
        <f>SUMIFS('Per-Center'!$AK$2:$AK$26,'Per-Center'!$G$2:$G$26,"&lt;="&amp;$A10)</f>
        <v/>
      </c>
      <c r="I10" s="57">
        <f>SUMPRODUCT((($A10-'Per-Center'!$G$2:$G$26+1)&gt;=1)*0.5+(($A10-'Per-Center'!$G$2:$G$26+1)&gt;=2)*0.25+(($A10-'Per-Center'!$G$2:$G$26+1)&gt;=3)*0.25,'Per-Center'!$AC$2:$AC$26)-SUMPRODUCT((($A10-'Per-Center'!$G$2:$G$26+1)&gt;=1)*1,('Per-Center'!$AD$2:$AD$26+'Per-Center'!$AE$2:$AE$26+'Per-Center'!$AF$2:$AF$26))+SUMPRODUCT((($A10-'Per-Center'!$G$2:$G$26+1)&gt;=1)*1,('Per-Center'!$AG$2:$AG$26+'Per-Center'!$AH$2:$AH$26+'Per-Center'!$AI$2:$AI$26))+C10*Assumptions!$B$29</f>
        <v/>
      </c>
      <c r="J10" s="67">
        <f>I10-H10-G10</f>
        <v/>
      </c>
      <c r="K10" s="67">
        <f>K9+J10</f>
        <v/>
      </c>
    </row>
    <row r="11" ht="15" customHeight="1" s="41">
      <c r="A11" s="65" t="n">
        <v>10</v>
      </c>
      <c r="B11" s="71">
        <f>COUNTIF('Per-Center'!$G$2:$G$26,$A11)</f>
        <v/>
      </c>
      <c r="C11" s="71">
        <f>COUNTIF('Per-Center'!$G$2:$G$26,"&lt;="&amp;$A11)</f>
        <v/>
      </c>
      <c r="D11" s="56">
        <f>SUMIFS('Per-Center'!$H$2:$H$26,'Per-Center'!$G$2:$G$26,"&lt;="&amp;$A11)</f>
        <v/>
      </c>
      <c r="E11" s="57">
        <f>SUMIFS('Per-Center'!$AB$2:$AB$26,'Per-Center'!$G$2:$G$26,$A11)</f>
        <v/>
      </c>
      <c r="F11" s="67">
        <f>E11*Assumptions!$B$8*(1-Assumptions!$B$9)</f>
        <v/>
      </c>
      <c r="G11" s="67">
        <f>E11-E11*Assumptions!$B$9-F11</f>
        <v/>
      </c>
      <c r="H11" s="57">
        <f>SUMIFS('Per-Center'!$AK$2:$AK$26,'Per-Center'!$G$2:$G$26,"&lt;="&amp;$A11)</f>
        <v/>
      </c>
      <c r="I11" s="57">
        <f>SUMPRODUCT((($A11-'Per-Center'!$G$2:$G$26+1)&gt;=1)*0.5+(($A11-'Per-Center'!$G$2:$G$26+1)&gt;=2)*0.25+(($A11-'Per-Center'!$G$2:$G$26+1)&gt;=3)*0.25,'Per-Center'!$AC$2:$AC$26)-SUMPRODUCT((($A11-'Per-Center'!$G$2:$G$26+1)&gt;=1)*1,('Per-Center'!$AD$2:$AD$26+'Per-Center'!$AE$2:$AE$26+'Per-Center'!$AF$2:$AF$26))+SUMPRODUCT((($A11-'Per-Center'!$G$2:$G$26+1)&gt;=1)*1,('Per-Center'!$AG$2:$AG$26+'Per-Center'!$AH$2:$AH$26+'Per-Center'!$AI$2:$AI$26))+C11*Assumptions!$B$29</f>
        <v/>
      </c>
      <c r="J11" s="67">
        <f>I11-H11-G11</f>
        <v/>
      </c>
      <c r="K11" s="67">
        <f>K10+J11</f>
        <v/>
      </c>
    </row>
    <row r="13" ht="15" customHeight="1" s="41">
      <c r="A13" s="43" t="inlineStr">
        <is>
          <t>NOI uses lease-up ramp 50%/75%/100% by center age. Base case (stress levers off).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G2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0" customWidth="1" style="40" min="1" max="1"/>
    <col width="34" customWidth="1" style="40" min="2" max="2"/>
    <col width="26" customWidth="1" style="40" min="3" max="3"/>
    <col width="30" customWidth="1" style="40" min="4" max="4"/>
    <col width="14" customWidth="1" style="40" min="5" max="5"/>
    <col width="16" customWidth="1" style="40" min="6" max="6"/>
    <col width="26" customWidth="1" style="40" min="7" max="7"/>
  </cols>
  <sheetData>
    <row r="1" ht="15" customHeight="1" s="41">
      <c r="A1" s="44" t="inlineStr">
        <is>
          <t>JOBS — WHAT THE MODEL COUNTS</t>
        </is>
      </c>
      <c r="B1" s="72" t="n"/>
      <c r="C1" s="72" t="n"/>
      <c r="D1" s="72" t="n"/>
      <c r="E1" s="72" t="n"/>
      <c r="F1" s="72" t="n"/>
      <c r="G1" s="72" t="n"/>
    </row>
    <row r="2" ht="15" customHeight="1" s="41">
      <c r="A2" s="47" t="inlineStr">
        <is>
          <t>Four categories, kept separate to avoid double-counting. Matches Dashboard v1.18 ("Jobs — what the model counts" in the Guide).</t>
        </is>
      </c>
    </row>
    <row r="4" ht="15" customHeight="1" s="41">
      <c r="A4" s="73" t="inlineStr">
        <is>
          <t>Category</t>
        </is>
      </c>
      <c r="B4" s="73" t="inlineStr">
        <is>
          <t>What it is</t>
        </is>
      </c>
      <c r="C4" s="73" t="inlineStr">
        <is>
          <t>New or kept?</t>
        </is>
      </c>
      <c r="D4" s="73" t="inlineStr">
        <is>
          <t>Where it shows</t>
        </is>
      </c>
    </row>
    <row r="5" ht="79.5" customHeight="1" s="41">
      <c r="A5" s="74" t="inlineStr">
        <is>
          <t>Direct seats</t>
        </is>
      </c>
      <c r="B5" s="74" t="inlineStr">
        <is>
          <t>Knowledge-work seats at a center — existing jobs that move to minutes from home.</t>
        </is>
      </c>
      <c r="C5" s="74" t="inlineStr">
        <is>
          <t>Kept local — not newly created</t>
        </is>
      </c>
      <c r="D5" s="74" t="inlineStr">
        <is>
          <t>Public &amp; Government lenses ("jobs kept local"); Community lens</t>
        </is>
      </c>
    </row>
    <row r="6" ht="157.5" customHeight="1" s="41">
      <c r="A6" s="74" t="inlineStr">
        <is>
          <t>Operations jobs</t>
        </is>
      </c>
      <c r="B6" s="74" t="inlineStr">
        <is>
          <t>Permanent staff who run each center — facility mgmt, member services, security, tech support. Cost already inside facility OPEX; headcount is a display assumption (no double-count).</t>
        </is>
      </c>
      <c r="C6" s="74" t="inlineStr">
        <is>
          <t>New direct hires — most relevant to job-creation incentives</t>
        </is>
      </c>
      <c r="D6" s="74" t="inlineStr">
        <is>
          <t>Public &amp; Government lenses; Government by-county table; Community lens</t>
        </is>
      </c>
    </row>
    <row r="7" ht="90.75" customHeight="1" s="41">
      <c r="A7" s="74" t="inlineStr">
        <is>
          <t>Induced jobs</t>
        </is>
      </c>
      <c r="B7" s="74" t="inlineStr">
        <is>
          <t>Local service/retail/trades employment supported by recaptured commuting dollars.</t>
        </is>
      </c>
      <c r="C7" s="74" t="inlineStr">
        <is>
          <t>New, indirect — illustrative multiplier</t>
        </is>
      </c>
      <c r="D7" s="74" t="inlineStr">
        <is>
          <t>Community lens (inside "total local jobs")</t>
        </is>
      </c>
    </row>
    <row r="8" ht="68.25" customHeight="1" s="41">
      <c r="A8" s="74" t="inlineStr">
        <is>
          <t>Construction job-years</t>
        </is>
      </c>
      <c r="B8" s="74" t="inlineStr">
        <is>
          <t>Temporary employment during the build — planning heuristic per $1M of CapEx.</t>
        </is>
      </c>
      <c r="C8" s="74" t="inlineStr">
        <is>
          <t>One-time, during the build</t>
        </is>
      </c>
      <c r="D8" s="74" t="inlineStr">
        <is>
          <t>Community lens</t>
        </is>
      </c>
    </row>
    <row r="10" ht="15" customHeight="1" s="41">
      <c r="A10" s="45" t="inlineStr">
        <is>
          <t>Inputs (blue — edit these)</t>
        </is>
      </c>
    </row>
    <row r="11" ht="15" customHeight="1" s="41">
      <c r="A11" s="59" t="inlineStr">
        <is>
          <t>Ops FTE per center — Core</t>
        </is>
      </c>
      <c r="B11" s="60" t="n">
        <v>10</v>
      </c>
      <c r="C11" s="47" t="inlineStr">
        <is>
          <t>Working defaults per the dashboard Community lens</t>
        </is>
      </c>
    </row>
    <row r="12" ht="15" customHeight="1" s="41">
      <c r="A12" s="59" t="inlineStr">
        <is>
          <t>Ops FTE per center — Regional</t>
        </is>
      </c>
      <c r="B12" s="60" t="n">
        <v>6</v>
      </c>
    </row>
    <row r="13" ht="15" customHeight="1" s="41">
      <c r="A13" s="59" t="inlineStr">
        <is>
          <t>Ops FTE per center — Edge</t>
        </is>
      </c>
      <c r="B13" s="60" t="n">
        <v>3</v>
      </c>
    </row>
    <row r="14" ht="15" customHeight="1" s="41">
      <c r="A14" s="59" t="inlineStr">
        <is>
          <t>Ops FTE per center — Presence</t>
        </is>
      </c>
      <c r="B14" s="60" t="n">
        <v>1</v>
      </c>
    </row>
    <row r="15" ht="15" customHeight="1" s="41">
      <c r="A15" s="59" t="inlineStr">
        <is>
          <t>Induced-jobs multiplier (× direct seats)</t>
        </is>
      </c>
      <c r="B15" s="60" t="n">
        <v>0.4</v>
      </c>
      <c r="C15" s="47" t="inlineStr">
        <is>
          <t>Conservative; adjustable in the Community lens</t>
        </is>
      </c>
    </row>
    <row r="16" ht="15" customHeight="1" s="41">
      <c r="A16" s="59" t="inlineStr">
        <is>
          <t>Construction job-years per $1M CapEx</t>
        </is>
      </c>
      <c r="B16" s="60" t="n">
        <v>5.5</v>
      </c>
      <c r="C16" s="47" t="inlineStr">
        <is>
          <t>Standard planning heuristic</t>
        </is>
      </c>
    </row>
    <row r="18" ht="23.25" customHeight="1" s="41">
      <c r="A18" s="75" t="inlineStr">
        <is>
          <t>Tier</t>
        </is>
      </c>
      <c r="B18" s="75" t="inlineStr">
        <is>
          <t>Centers</t>
        </is>
      </c>
      <c r="C18" s="75" t="inlineStr">
        <is>
          <t>Direct seats (kept local)</t>
        </is>
      </c>
      <c r="D18" s="75" t="inlineStr">
        <is>
          <t>New operations jobs</t>
        </is>
      </c>
      <c r="E18" s="75" t="inlineStr">
        <is>
          <t>Induced jobs</t>
        </is>
      </c>
      <c r="F18" s="75" t="inlineStr">
        <is>
          <t>Total local jobs</t>
        </is>
      </c>
      <c r="G18" s="75" t="inlineStr">
        <is>
          <t>Construction job-years (one-time)</t>
        </is>
      </c>
    </row>
    <row r="19" ht="15" customHeight="1" s="41">
      <c r="A19" s="76" t="inlineStr">
        <is>
          <t>Core</t>
        </is>
      </c>
      <c r="B19" s="77">
        <f>COUNTIF('Per-Center'!$C$2:$C$26,$A19)</f>
        <v/>
      </c>
      <c r="C19" s="77">
        <f>SUMIF('Per-Center'!$C$2:$C$26,$A19,'Per-Center'!$H$2:$H$26)</f>
        <v/>
      </c>
      <c r="D19" s="77">
        <f>B19*$B$11</f>
        <v/>
      </c>
      <c r="E19" s="77">
        <f>C19*$B$15</f>
        <v/>
      </c>
      <c r="F19" s="77">
        <f>C19+D19+E19</f>
        <v/>
      </c>
      <c r="G19" s="77">
        <f>SUMIF('Per-Center'!$C$2:$C$26,$A19,'Per-Center'!$AB$2:$AB$26)/1000000*$B$16</f>
        <v/>
      </c>
    </row>
    <row r="20" ht="15" customHeight="1" s="41">
      <c r="A20" s="76" t="inlineStr">
        <is>
          <t>Regional</t>
        </is>
      </c>
      <c r="B20" s="77">
        <f>COUNTIF('Per-Center'!$C$2:$C$26,$A20)</f>
        <v/>
      </c>
      <c r="C20" s="77">
        <f>SUMIF('Per-Center'!$C$2:$C$26,$A20,'Per-Center'!$H$2:$H$26)</f>
        <v/>
      </c>
      <c r="D20" s="77">
        <f>B20*$B$12</f>
        <v/>
      </c>
      <c r="E20" s="77">
        <f>C20*$B$15</f>
        <v/>
      </c>
      <c r="F20" s="77">
        <f>C20+D20+E20</f>
        <v/>
      </c>
      <c r="G20" s="77">
        <f>SUMIF('Per-Center'!$C$2:$C$26,$A20,'Per-Center'!$AB$2:$AB$26)/1000000*$B$16</f>
        <v/>
      </c>
    </row>
    <row r="21" ht="15" customHeight="1" s="41">
      <c r="A21" s="76" t="inlineStr">
        <is>
          <t>Edge</t>
        </is>
      </c>
      <c r="B21" s="77">
        <f>COUNTIF('Per-Center'!$C$2:$C$26,$A21)</f>
        <v/>
      </c>
      <c r="C21" s="77">
        <f>SUMIF('Per-Center'!$C$2:$C$26,$A21,'Per-Center'!$H$2:$H$26)</f>
        <v/>
      </c>
      <c r="D21" s="77">
        <f>B21*$B$13</f>
        <v/>
      </c>
      <c r="E21" s="77">
        <f>C21*$B$15</f>
        <v/>
      </c>
      <c r="F21" s="77">
        <f>C21+D21+E21</f>
        <v/>
      </c>
      <c r="G21" s="77">
        <f>SUMIF('Per-Center'!$C$2:$C$26,$A21,'Per-Center'!$AB$2:$AB$26)/1000000*$B$16</f>
        <v/>
      </c>
    </row>
    <row r="22" ht="15" customHeight="1" s="41">
      <c r="A22" s="76" t="inlineStr">
        <is>
          <t>Presence</t>
        </is>
      </c>
      <c r="B22" s="77">
        <f>COUNTIF('Per-Center'!$C$2:$C$26,$A22)</f>
        <v/>
      </c>
      <c r="C22" s="77">
        <f>SUMIF('Per-Center'!$C$2:$C$26,$A22,'Per-Center'!$H$2:$H$26)</f>
        <v/>
      </c>
      <c r="D22" s="77">
        <f>B22*$B$14</f>
        <v/>
      </c>
      <c r="E22" s="77">
        <f>C22*$B$15</f>
        <v/>
      </c>
      <c r="F22" s="77">
        <f>C22+D22+E22</f>
        <v/>
      </c>
      <c r="G22" s="77">
        <f>SUMIF('Per-Center'!$C$2:$C$26,$A22,'Per-Center'!$AB$2:$AB$26)/1000000*$B$16</f>
        <v/>
      </c>
    </row>
    <row r="23" ht="15" customHeight="1" s="41">
      <c r="A23" s="78" t="inlineStr">
        <is>
          <t>NETWORK</t>
        </is>
      </c>
      <c r="B23" s="79">
        <f>SUM(B19:B22)</f>
        <v/>
      </c>
      <c r="C23" s="79">
        <f>SUM(C19:C22)</f>
        <v/>
      </c>
      <c r="D23" s="79">
        <f>SUM(D19:D22)</f>
        <v/>
      </c>
      <c r="E23" s="79">
        <f>SUM(E19:E22)</f>
        <v/>
      </c>
      <c r="F23" s="79">
        <f>SUM(F19:F22)</f>
        <v/>
      </c>
      <c r="G23" s="79">
        <f>SUM(G19:G22)</f>
        <v/>
      </c>
    </row>
    <row r="25" ht="15" customHeight="1" s="41">
      <c r="A25" s="47" t="inlineStr">
        <is>
          <t>Total local jobs = direct seats + operations + induced (construction job-years shown separately, one-time). Ops staffing cost already sits inside facility OPEX in Per-Center — headcounts here create no double-count.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L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40" min="1" max="8"/>
  </cols>
  <sheetData>
    <row r="1" ht="30" customHeight="1" s="41">
      <c r="A1" s="48" t="inlineStr">
        <is>
          <t>Tier</t>
        </is>
      </c>
      <c r="B1" s="48" t="inlineStr">
        <is>
          <t>Workers</t>
        </is>
      </c>
      <c r="C1" s="48" t="inlineStr">
        <is>
          <t>SF/enclave</t>
        </is>
      </c>
      <c r="D1" s="48" t="inlineStr">
        <is>
          <t>EnclavePct</t>
        </is>
      </c>
      <c r="E1" s="48" t="inlineStr">
        <is>
          <t>ProgramPct</t>
        </is>
      </c>
      <c r="F1" s="48" t="inlineStr">
        <is>
          <t>CostPerSF</t>
        </is>
      </c>
      <c r="G1" s="48" t="inlineStr">
        <is>
          <t>Uplift</t>
        </is>
      </c>
      <c r="H1" s="48" t="inlineStr">
        <is>
          <t>Contract</t>
        </is>
      </c>
      <c r="I1" s="40" t="inlineStr">
        <is>
          <t>EfficiencyPct</t>
        </is>
      </c>
      <c r="J1" s="40" t="inlineStr">
        <is>
          <t>UtilityPct</t>
        </is>
      </c>
      <c r="K1" s="40" t="inlineStr">
        <is>
          <t>CommonPct</t>
        </is>
      </c>
      <c r="L1" s="40" t="inlineStr">
        <is>
          <t>RentMult</t>
        </is>
      </c>
    </row>
    <row r="2" ht="15" customHeight="1" s="41">
      <c r="A2" s="46" t="inlineStr">
        <is>
          <t>Core</t>
        </is>
      </c>
      <c r="B2" s="65" t="n">
        <v>525</v>
      </c>
      <c r="C2" s="65" t="n">
        <v>120</v>
      </c>
      <c r="D2" s="66" t="n">
        <v>0.62</v>
      </c>
      <c r="E2" s="66" t="n">
        <v>0.18</v>
      </c>
      <c r="F2" s="67" t="n">
        <v>350</v>
      </c>
      <c r="G2" s="67" t="n">
        <v>110</v>
      </c>
      <c r="H2" s="67" t="n">
        <v>1500000</v>
      </c>
      <c r="I2" s="40" t="n">
        <v>0.9</v>
      </c>
      <c r="J2" s="40" t="n">
        <v>0.06</v>
      </c>
      <c r="K2" s="40" t="n">
        <v>0.08</v>
      </c>
      <c r="L2" s="40" t="n">
        <v>1</v>
      </c>
    </row>
    <row r="3" ht="15" customHeight="1" s="41">
      <c r="A3" s="46" t="inlineStr">
        <is>
          <t>Regional</t>
        </is>
      </c>
      <c r="B3" s="65" t="n">
        <v>325</v>
      </c>
      <c r="C3" s="65" t="n">
        <v>110</v>
      </c>
      <c r="D3" s="66" t="n">
        <v>0.64</v>
      </c>
      <c r="E3" s="66" t="n">
        <v>0.14</v>
      </c>
      <c r="F3" s="67" t="n">
        <v>300</v>
      </c>
      <c r="G3" s="67" t="n">
        <v>85</v>
      </c>
      <c r="H3" s="67" t="n">
        <v>630000</v>
      </c>
      <c r="I3" s="40" t="n">
        <v>0.9</v>
      </c>
      <c r="J3" s="40" t="n">
        <v>0.06</v>
      </c>
      <c r="K3" s="40" t="n">
        <v>0.08</v>
      </c>
      <c r="L3" s="40" t="n">
        <v>1</v>
      </c>
    </row>
    <row r="4" ht="15" customHeight="1" s="41">
      <c r="A4" s="46" t="inlineStr">
        <is>
          <t>Edge</t>
        </is>
      </c>
      <c r="B4" s="65" t="n">
        <v>125</v>
      </c>
      <c r="C4" s="65" t="n">
        <v>105</v>
      </c>
      <c r="D4" s="66" t="n">
        <v>0.62</v>
      </c>
      <c r="E4" s="66" t="n">
        <v>0.1</v>
      </c>
      <c r="F4" s="67" t="n">
        <v>250</v>
      </c>
      <c r="G4" s="67" t="n">
        <v>58</v>
      </c>
      <c r="H4" s="67" t="n">
        <v>120000</v>
      </c>
      <c r="I4" s="40" t="n">
        <v>0.9</v>
      </c>
      <c r="J4" s="40" t="n">
        <v>0.06</v>
      </c>
      <c r="K4" s="40" t="n">
        <v>0.08</v>
      </c>
      <c r="L4" s="40" t="n">
        <v>1</v>
      </c>
    </row>
    <row r="5" ht="15" customHeight="1" s="41">
      <c r="A5" s="46" t="inlineStr">
        <is>
          <t>Presence</t>
        </is>
      </c>
      <c r="B5" s="65" t="n">
        <v>40</v>
      </c>
      <c r="C5" s="65" t="n">
        <v>105</v>
      </c>
      <c r="D5" s="66" t="n">
        <v>0.62</v>
      </c>
      <c r="E5" s="66" t="n">
        <v>0.1</v>
      </c>
      <c r="F5" s="67" t="n">
        <v>180</v>
      </c>
      <c r="G5" s="67" t="n">
        <v>40</v>
      </c>
      <c r="H5" s="67" t="n">
        <v>0</v>
      </c>
      <c r="I5" s="40" t="n">
        <v>0.9</v>
      </c>
      <c r="J5" s="40" t="n">
        <v>0.06</v>
      </c>
      <c r="K5" s="40" t="n">
        <v>0.08</v>
      </c>
      <c r="L5" s="40" t="n">
        <v>1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B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40" min="1" max="1"/>
    <col width="16" customWidth="1" style="40" min="2" max="2"/>
  </cols>
  <sheetData>
    <row r="1" ht="30" customHeight="1" s="41">
      <c r="A1" s="48" t="inlineStr">
        <is>
          <t>Host</t>
        </is>
      </c>
      <c r="B1" s="48" t="inlineStr">
        <is>
          <t>Anchor revenue</t>
        </is>
      </c>
    </row>
    <row r="2" ht="15" customHeight="1" s="41">
      <c r="A2" s="46" t="inlineStr">
        <is>
          <t>G</t>
        </is>
      </c>
      <c r="B2" s="52" t="n">
        <v>600000</v>
      </c>
    </row>
    <row r="3" ht="15" customHeight="1" s="41">
      <c r="A3" s="46" t="inlineStr">
        <is>
          <t>C</t>
        </is>
      </c>
      <c r="B3" s="52" t="n">
        <v>300000</v>
      </c>
    </row>
    <row r="4" ht="15" customHeight="1" s="41">
      <c r="A4" s="46" t="inlineStr">
        <is>
          <t>HC</t>
        </is>
      </c>
      <c r="B4" s="52" t="n">
        <v>400000</v>
      </c>
    </row>
    <row r="5" ht="15" customHeight="1" s="41">
      <c r="A5" s="46" t="inlineStr">
        <is>
          <t>A</t>
        </is>
      </c>
      <c r="B5" s="52" t="n">
        <v>250000</v>
      </c>
    </row>
    <row r="6" ht="15" customHeight="1" s="41">
      <c r="A6" s="46" t="inlineStr">
        <is>
          <t>Standalone</t>
        </is>
      </c>
      <c r="B6" s="52" t="n">
        <v>0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P2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4" customWidth="1" style="40" min="1" max="1"/>
    <col width="11" customWidth="1" style="40" min="2" max="13"/>
  </cols>
  <sheetData>
    <row r="1" ht="30" customHeight="1" s="41">
      <c r="A1" s="48" t="inlineStr">
        <is>
          <t>Community</t>
        </is>
      </c>
      <c r="B1" s="48" t="inlineStr">
        <is>
          <t>Tier</t>
        </is>
      </c>
      <c r="C1" s="48" t="inlineStr">
        <is>
          <t>LP equity</t>
        </is>
      </c>
      <c r="D1" s="48" t="inlineStr">
        <is>
          <t>Y1</t>
        </is>
      </c>
      <c r="E1" s="48" t="inlineStr">
        <is>
          <t>Y2</t>
        </is>
      </c>
      <c r="F1" s="48" t="inlineStr">
        <is>
          <t>Y3</t>
        </is>
      </c>
      <c r="G1" s="48" t="inlineStr">
        <is>
          <t>Y4</t>
        </is>
      </c>
      <c r="H1" s="48" t="inlineStr">
        <is>
          <t>Y5</t>
        </is>
      </c>
      <c r="I1" s="48" t="inlineStr">
        <is>
          <t>Y6</t>
        </is>
      </c>
      <c r="J1" s="48" t="inlineStr">
        <is>
          <t>Y7</t>
        </is>
      </c>
      <c r="K1" s="48" t="inlineStr">
        <is>
          <t>Y8</t>
        </is>
      </c>
      <c r="L1" s="48" t="inlineStr">
        <is>
          <t>Y9</t>
        </is>
      </c>
      <c r="M1" s="48" t="inlineStr">
        <is>
          <t>Y10</t>
        </is>
      </c>
      <c r="N1" s="48" t="inlineStr">
        <is>
          <t>Local IRR</t>
        </is>
      </c>
      <c r="O1" s="48" t="inlineStr">
        <is>
          <t>Break-even</t>
        </is>
      </c>
      <c r="P1" s="48" t="inlineStr">
        <is>
          <t>SPV exit</t>
        </is>
      </c>
    </row>
    <row r="2" ht="15" customHeight="1" s="41">
      <c r="A2" s="46" t="inlineStr">
        <is>
          <t>Austin</t>
        </is>
      </c>
      <c r="B2" s="46" t="inlineStr">
        <is>
          <t>Core</t>
        </is>
      </c>
      <c r="C2" s="57">
        <f>'Per-Center'!$AP$2</f>
        <v/>
      </c>
      <c r="D2" s="57">
        <f>IF(1&gt;Assumptions!$B$15,0,(0.5*'Per-Center'!$AC$2-('Per-Center'!$AD$2+'Per-Center'!$AE$2+'Per-Center'!$AF$2)+('Per-Center'!$AG$2+'Per-Center'!$AH$2+'Per-Center'!$AI$2+Assumptions!$B$29)-'Per-Center'!$AK$2)-'Per-Center'!$AP$2+IF(1=Assumptions!$B$15,('Per-Center'!$AJ$2/Assumptions!$B$16-('Per-Center'!$AO$2*(1+Assumptions!$B$23)^Assumptions!$B$15-'Per-Center'!$AK$2*((1+Assumptions!$B$23)^Assumptions!$B$15-1)/Assumptions!$B$23)),0))</f>
        <v/>
      </c>
      <c r="E2" s="57">
        <f>IF(2&gt;Assumptions!$B$15,0,(0.75*'Per-Center'!$AC$2-('Per-Center'!$AD$2+'Per-Center'!$AE$2+'Per-Center'!$AF$2)+('Per-Center'!$AG$2+'Per-Center'!$AH$2+'Per-Center'!$AI$2+Assumptions!$B$29)-'Per-Center'!$AK$2)+IF(2=Assumptions!$B$15,('Per-Center'!$AJ$2/Assumptions!$B$16-('Per-Center'!$AO$2*(1+Assumptions!$B$23)^Assumptions!$B$15-'Per-Center'!$AK$2*((1+Assumptions!$B$23)^Assumptions!$B$15-1)/Assumptions!$B$23)),0))</f>
        <v/>
      </c>
      <c r="F2" s="57">
        <f>IF(3&gt;Assumptions!$B$15,0,(1*'Per-Center'!$AC$2-('Per-Center'!$AD$2+'Per-Center'!$AE$2+'Per-Center'!$AF$2)+('Per-Center'!$AG$2+'Per-Center'!$AH$2+'Per-Center'!$AI$2+Assumptions!$B$29)-'Per-Center'!$AK$2)+IF(3=Assumptions!$B$15,('Per-Center'!$AJ$2/Assumptions!$B$16-('Per-Center'!$AO$2*(1+Assumptions!$B$23)^Assumptions!$B$15-'Per-Center'!$AK$2*((1+Assumptions!$B$23)^Assumptions!$B$15-1)/Assumptions!$B$23)),0))</f>
        <v/>
      </c>
      <c r="G2" s="57">
        <f>IF(4&gt;Assumptions!$B$15,0,(1*'Per-Center'!$AC$2-('Per-Center'!$AD$2+'Per-Center'!$AE$2+'Per-Center'!$AF$2)+('Per-Center'!$AG$2+'Per-Center'!$AH$2+'Per-Center'!$AI$2+Assumptions!$B$29)-'Per-Center'!$AK$2)+IF(4=Assumptions!$B$15,('Per-Center'!$AJ$2/Assumptions!$B$16-('Per-Center'!$AO$2*(1+Assumptions!$B$23)^Assumptions!$B$15-'Per-Center'!$AK$2*((1+Assumptions!$B$23)^Assumptions!$B$15-1)/Assumptions!$B$23)),0))</f>
        <v/>
      </c>
      <c r="H2" s="57">
        <f>IF(5&gt;Assumptions!$B$15,0,(1*'Per-Center'!$AC$2-('Per-Center'!$AD$2+'Per-Center'!$AE$2+'Per-Center'!$AF$2)+('Per-Center'!$AG$2+'Per-Center'!$AH$2+'Per-Center'!$AI$2+Assumptions!$B$29)-'Per-Center'!$AK$2)+IF(5=Assumptions!$B$15,('Per-Center'!$AJ$2/Assumptions!$B$16-('Per-Center'!$AO$2*(1+Assumptions!$B$23)^Assumptions!$B$15-'Per-Center'!$AK$2*((1+Assumptions!$B$23)^Assumptions!$B$15-1)/Assumptions!$B$23)),0))</f>
        <v/>
      </c>
      <c r="I2" s="57">
        <f>IF(6&gt;Assumptions!$B$15,0,(1*'Per-Center'!$AC$2-('Per-Center'!$AD$2+'Per-Center'!$AE$2+'Per-Center'!$AF$2)+('Per-Center'!$AG$2+'Per-Center'!$AH$2+'Per-Center'!$AI$2+Assumptions!$B$29)-'Per-Center'!$AK$2)+IF(6=Assumptions!$B$15,('Per-Center'!$AJ$2/Assumptions!$B$16-('Per-Center'!$AO$2*(1+Assumptions!$B$23)^Assumptions!$B$15-'Per-Center'!$AK$2*((1+Assumptions!$B$23)^Assumptions!$B$15-1)/Assumptions!$B$23)),0))</f>
        <v/>
      </c>
      <c r="J2" s="57">
        <f>IF(7&gt;Assumptions!$B$15,0,(1*'Per-Center'!$AC$2-('Per-Center'!$AD$2+'Per-Center'!$AE$2+'Per-Center'!$AF$2)+('Per-Center'!$AG$2+'Per-Center'!$AH$2+'Per-Center'!$AI$2+Assumptions!$B$29)-'Per-Center'!$AK$2)+IF(7=Assumptions!$B$15,('Per-Center'!$AJ$2/Assumptions!$B$16-('Per-Center'!$AO$2*(1+Assumptions!$B$23)^Assumptions!$B$15-'Per-Center'!$AK$2*((1+Assumptions!$B$23)^Assumptions!$B$15-1)/Assumptions!$B$23)),0))</f>
        <v/>
      </c>
      <c r="K2" s="86">
        <f>IF(8&gt;Assumptions!$B$15,0,(1*'Per-Center'!$AC$2-('Per-Center'!$AD$2+'Per-Center'!$AE$2+'Per-Center'!$AF$2)+('Per-Center'!$AG$2+'Per-Center'!$AH$2+'Per-Center'!$AI$2+Assumptions!$B$29)-'Per-Center'!$AK$2)+IF(8=Assumptions!$B$15,('Per-Center'!$AJ$2/Assumptions!$B$16-('Per-Center'!$AO$2*(1+Assumptions!$B$23)^Assumptions!$B$15-'Per-Center'!$AK$2*((1+Assumptions!$B$23)^Assumptions!$B$15-1)/Assumptions!$B$23)),0))</f>
        <v/>
      </c>
      <c r="L2" s="86">
        <f>IF(9&gt;Assumptions!$B$15,0,(1*'Per-Center'!$AC$2-('Per-Center'!$AD$2+'Per-Center'!$AE$2+'Per-Center'!$AF$2)+('Per-Center'!$AG$2+'Per-Center'!$AH$2+'Per-Center'!$AI$2+Assumptions!$B$29)-'Per-Center'!$AK$2)+IF(9=Assumptions!$B$15,('Per-Center'!$AJ$2/Assumptions!$B$16-('Per-Center'!$AO$2*(1+Assumptions!$B$23)^Assumptions!$B$15-'Per-Center'!$AK$2*((1+Assumptions!$B$23)^Assumptions!$B$15-1)/Assumptions!$B$23)),0))</f>
        <v/>
      </c>
      <c r="M2" s="86">
        <f>IF(10&gt;Assumptions!$B$15,0,(1*'Per-Center'!$AC$2-('Per-Center'!$AD$2+'Per-Center'!$AE$2+'Per-Center'!$AF$2)+('Per-Center'!$AG$2+'Per-Center'!$AH$2+'Per-Center'!$AI$2+Assumptions!$B$29)-'Per-Center'!$AK$2)+IF(10=Assumptions!$B$15,('Per-Center'!$AJ$2/Assumptions!$B$16-('Per-Center'!$AO$2*(1+Assumptions!$B$23)^Assumptions!$B$15-'Per-Center'!$AK$2*((1+Assumptions!$B$23)^Assumptions!$B$15-1)/Assumptions!$B$23)),0))</f>
        <v/>
      </c>
      <c r="N2" s="66">
        <f>IFERROR(IRR(D2:M2,0.1),-0.99)</f>
        <v/>
      </c>
      <c r="O2" s="63">
        <f>IF((0.5*'Per-Center'!$AC$2-('Per-Center'!$AD$2+'Per-Center'!$AE$2+'Per-Center'!$AF$2)+('Per-Center'!$AG$2+'Per-Center'!$AH$2+'Per-Center'!$AI$2+Assumptions!$B$29))&gt;='Per-Center'!$AK$2,1,IF((0.75*'Per-Center'!$AC$2-('Per-Center'!$AD$2+'Per-Center'!$AE$2+'Per-Center'!$AF$2)+('Per-Center'!$AG$2+'Per-Center'!$AH$2+'Per-Center'!$AI$2+Assumptions!$B$29))&gt;='Per-Center'!$AK$2,2,IF(('Per-Center'!$AC$2-('Per-Center'!$AD$2+'Per-Center'!$AE$2+'Per-Center'!$AF$2)+('Per-Center'!$AG$2+'Per-Center'!$AH$2+'Per-Center'!$AI$2+Assumptions!$B$29))&gt;='Per-Center'!$AK$2,3,"&gt;"&amp;Assumptions!$B$15)))</f>
        <v/>
      </c>
      <c r="P2" s="57">
        <f>'Per-Center'!$AJ$2/Assumptions!$B$16</f>
        <v/>
      </c>
    </row>
    <row r="3" ht="15" customHeight="1" s="41">
      <c r="A3" s="46" t="inlineStr">
        <is>
          <t>Round Rock</t>
        </is>
      </c>
      <c r="B3" s="46" t="inlineStr">
        <is>
          <t>Core</t>
        </is>
      </c>
      <c r="C3" s="57">
        <f>'Per-Center'!$AP$3</f>
        <v/>
      </c>
      <c r="D3" s="57">
        <f>IF(1&gt;Assumptions!$B$15,0,(0.5*'Per-Center'!$AC$3-('Per-Center'!$AD$3+'Per-Center'!$AE$3+'Per-Center'!$AF$3)+('Per-Center'!$AG$3+'Per-Center'!$AH$3+'Per-Center'!$AI$3+Assumptions!$B$29)-'Per-Center'!$AK$3)-'Per-Center'!$AP$3+IF(1=Assumptions!$B$15,('Per-Center'!$AJ$3/Assumptions!$B$16-('Per-Center'!$AO$3*(1+Assumptions!$B$23)^Assumptions!$B$15-'Per-Center'!$AK$3*((1+Assumptions!$B$23)^Assumptions!$B$15-1)/Assumptions!$B$23)),0))</f>
        <v/>
      </c>
      <c r="E3" s="57">
        <f>IF(2&gt;Assumptions!$B$15,0,(0.75*'Per-Center'!$AC$3-('Per-Center'!$AD$3+'Per-Center'!$AE$3+'Per-Center'!$AF$3)+('Per-Center'!$AG$3+'Per-Center'!$AH$3+'Per-Center'!$AI$3+Assumptions!$B$29)-'Per-Center'!$AK$3)+IF(2=Assumptions!$B$15,('Per-Center'!$AJ$3/Assumptions!$B$16-('Per-Center'!$AO$3*(1+Assumptions!$B$23)^Assumptions!$B$15-'Per-Center'!$AK$3*((1+Assumptions!$B$23)^Assumptions!$B$15-1)/Assumptions!$B$23)),0))</f>
        <v/>
      </c>
      <c r="F3" s="57">
        <f>IF(3&gt;Assumptions!$B$15,0,(1*'Per-Center'!$AC$3-('Per-Center'!$AD$3+'Per-Center'!$AE$3+'Per-Center'!$AF$3)+('Per-Center'!$AG$3+'Per-Center'!$AH$3+'Per-Center'!$AI$3+Assumptions!$B$29)-'Per-Center'!$AK$3)+IF(3=Assumptions!$B$15,('Per-Center'!$AJ$3/Assumptions!$B$16-('Per-Center'!$AO$3*(1+Assumptions!$B$23)^Assumptions!$B$15-'Per-Center'!$AK$3*((1+Assumptions!$B$23)^Assumptions!$B$15-1)/Assumptions!$B$23)),0))</f>
        <v/>
      </c>
      <c r="G3" s="57">
        <f>IF(4&gt;Assumptions!$B$15,0,(1*'Per-Center'!$AC$3-('Per-Center'!$AD$3+'Per-Center'!$AE$3+'Per-Center'!$AF$3)+('Per-Center'!$AG$3+'Per-Center'!$AH$3+'Per-Center'!$AI$3+Assumptions!$B$29)-'Per-Center'!$AK$3)+IF(4=Assumptions!$B$15,('Per-Center'!$AJ$3/Assumptions!$B$16-('Per-Center'!$AO$3*(1+Assumptions!$B$23)^Assumptions!$B$15-'Per-Center'!$AK$3*((1+Assumptions!$B$23)^Assumptions!$B$15-1)/Assumptions!$B$23)),0))</f>
        <v/>
      </c>
      <c r="H3" s="57">
        <f>IF(5&gt;Assumptions!$B$15,0,(1*'Per-Center'!$AC$3-('Per-Center'!$AD$3+'Per-Center'!$AE$3+'Per-Center'!$AF$3)+('Per-Center'!$AG$3+'Per-Center'!$AH$3+'Per-Center'!$AI$3+Assumptions!$B$29)-'Per-Center'!$AK$3)+IF(5=Assumptions!$B$15,('Per-Center'!$AJ$3/Assumptions!$B$16-('Per-Center'!$AO$3*(1+Assumptions!$B$23)^Assumptions!$B$15-'Per-Center'!$AK$3*((1+Assumptions!$B$23)^Assumptions!$B$15-1)/Assumptions!$B$23)),0))</f>
        <v/>
      </c>
      <c r="I3" s="57">
        <f>IF(6&gt;Assumptions!$B$15,0,(1*'Per-Center'!$AC$3-('Per-Center'!$AD$3+'Per-Center'!$AE$3+'Per-Center'!$AF$3)+('Per-Center'!$AG$3+'Per-Center'!$AH$3+'Per-Center'!$AI$3+Assumptions!$B$29)-'Per-Center'!$AK$3)+IF(6=Assumptions!$B$15,('Per-Center'!$AJ$3/Assumptions!$B$16-('Per-Center'!$AO$3*(1+Assumptions!$B$23)^Assumptions!$B$15-'Per-Center'!$AK$3*((1+Assumptions!$B$23)^Assumptions!$B$15-1)/Assumptions!$B$23)),0))</f>
        <v/>
      </c>
      <c r="J3" s="57">
        <f>IF(7&gt;Assumptions!$B$15,0,(1*'Per-Center'!$AC$3-('Per-Center'!$AD$3+'Per-Center'!$AE$3+'Per-Center'!$AF$3)+('Per-Center'!$AG$3+'Per-Center'!$AH$3+'Per-Center'!$AI$3+Assumptions!$B$29)-'Per-Center'!$AK$3)+IF(7=Assumptions!$B$15,('Per-Center'!$AJ$3/Assumptions!$B$16-('Per-Center'!$AO$3*(1+Assumptions!$B$23)^Assumptions!$B$15-'Per-Center'!$AK$3*((1+Assumptions!$B$23)^Assumptions!$B$15-1)/Assumptions!$B$23)),0))</f>
        <v/>
      </c>
      <c r="K3" s="86">
        <f>IF(8&gt;Assumptions!$B$15,0,(1*'Per-Center'!$AC$3-('Per-Center'!$AD$3+'Per-Center'!$AE$3+'Per-Center'!$AF$3)+('Per-Center'!$AG$3+'Per-Center'!$AH$3+'Per-Center'!$AI$3+Assumptions!$B$29)-'Per-Center'!$AK$3)+IF(8=Assumptions!$B$15,('Per-Center'!$AJ$3/Assumptions!$B$16-('Per-Center'!$AO$3*(1+Assumptions!$B$23)^Assumptions!$B$15-'Per-Center'!$AK$3*((1+Assumptions!$B$23)^Assumptions!$B$15-1)/Assumptions!$B$23)),0))</f>
        <v/>
      </c>
      <c r="L3" s="86">
        <f>IF(9&gt;Assumptions!$B$15,0,(1*'Per-Center'!$AC$3-('Per-Center'!$AD$3+'Per-Center'!$AE$3+'Per-Center'!$AF$3)+('Per-Center'!$AG$3+'Per-Center'!$AH$3+'Per-Center'!$AI$3+Assumptions!$B$29)-'Per-Center'!$AK$3)+IF(9=Assumptions!$B$15,('Per-Center'!$AJ$3/Assumptions!$B$16-('Per-Center'!$AO$3*(1+Assumptions!$B$23)^Assumptions!$B$15-'Per-Center'!$AK$3*((1+Assumptions!$B$23)^Assumptions!$B$15-1)/Assumptions!$B$23)),0))</f>
        <v/>
      </c>
      <c r="M3" s="86">
        <f>IF(10&gt;Assumptions!$B$15,0,(1*'Per-Center'!$AC$3-('Per-Center'!$AD$3+'Per-Center'!$AE$3+'Per-Center'!$AF$3)+('Per-Center'!$AG$3+'Per-Center'!$AH$3+'Per-Center'!$AI$3+Assumptions!$B$29)-'Per-Center'!$AK$3)+IF(10=Assumptions!$B$15,('Per-Center'!$AJ$3/Assumptions!$B$16-('Per-Center'!$AO$3*(1+Assumptions!$B$23)^Assumptions!$B$15-'Per-Center'!$AK$3*((1+Assumptions!$B$23)^Assumptions!$B$15-1)/Assumptions!$B$23)),0))</f>
        <v/>
      </c>
      <c r="N3" s="66">
        <f>IFERROR(IRR(D3:M3,0.1),-0.99)</f>
        <v/>
      </c>
      <c r="O3" s="63">
        <f>IF((0.5*'Per-Center'!$AC$3-('Per-Center'!$AD$3+'Per-Center'!$AE$3+'Per-Center'!$AF$3)+('Per-Center'!$AG$3+'Per-Center'!$AH$3+'Per-Center'!$AI$3+Assumptions!$B$29))&gt;='Per-Center'!$AK$3,1,IF((0.75*'Per-Center'!$AC$3-('Per-Center'!$AD$3+'Per-Center'!$AE$3+'Per-Center'!$AF$3)+('Per-Center'!$AG$3+'Per-Center'!$AH$3+'Per-Center'!$AI$3+Assumptions!$B$29))&gt;='Per-Center'!$AK$3,2,IF(('Per-Center'!$AC$3-('Per-Center'!$AD$3+'Per-Center'!$AE$3+'Per-Center'!$AF$3)+('Per-Center'!$AG$3+'Per-Center'!$AH$3+'Per-Center'!$AI$3+Assumptions!$B$29))&gt;='Per-Center'!$AK$3,3,"&gt;"&amp;Assumptions!$B$15)))</f>
        <v/>
      </c>
      <c r="P3" s="57">
        <f>'Per-Center'!$AJ$3/Assumptions!$B$16</f>
        <v/>
      </c>
    </row>
    <row r="4" ht="15" customHeight="1" s="41">
      <c r="A4" s="46" t="inlineStr">
        <is>
          <t>Killeen</t>
        </is>
      </c>
      <c r="B4" s="46" t="inlineStr">
        <is>
          <t>Core</t>
        </is>
      </c>
      <c r="C4" s="57">
        <f>'Per-Center'!$AP$4</f>
        <v/>
      </c>
      <c r="D4" s="57">
        <f>IF(1&gt;Assumptions!$B$15,0,(0.5*'Per-Center'!$AC$4-('Per-Center'!$AD$4+'Per-Center'!$AE$4+'Per-Center'!$AF$4)+('Per-Center'!$AG$4+'Per-Center'!$AH$4+'Per-Center'!$AI$4+Assumptions!$B$29)-'Per-Center'!$AK$4)-'Per-Center'!$AP$4+IF(1=Assumptions!$B$15,('Per-Center'!$AJ$4/Assumptions!$B$16-('Per-Center'!$AO$4*(1+Assumptions!$B$23)^Assumptions!$B$15-'Per-Center'!$AK$4*((1+Assumptions!$B$23)^Assumptions!$B$15-1)/Assumptions!$B$23)),0))</f>
        <v/>
      </c>
      <c r="E4" s="57">
        <f>IF(2&gt;Assumptions!$B$15,0,(0.75*'Per-Center'!$AC$4-('Per-Center'!$AD$4+'Per-Center'!$AE$4+'Per-Center'!$AF$4)+('Per-Center'!$AG$4+'Per-Center'!$AH$4+'Per-Center'!$AI$4+Assumptions!$B$29)-'Per-Center'!$AK$4)+IF(2=Assumptions!$B$15,('Per-Center'!$AJ$4/Assumptions!$B$16-('Per-Center'!$AO$4*(1+Assumptions!$B$23)^Assumptions!$B$15-'Per-Center'!$AK$4*((1+Assumptions!$B$23)^Assumptions!$B$15-1)/Assumptions!$B$23)),0))</f>
        <v/>
      </c>
      <c r="F4" s="57">
        <f>IF(3&gt;Assumptions!$B$15,0,(1*'Per-Center'!$AC$4-('Per-Center'!$AD$4+'Per-Center'!$AE$4+'Per-Center'!$AF$4)+('Per-Center'!$AG$4+'Per-Center'!$AH$4+'Per-Center'!$AI$4+Assumptions!$B$29)-'Per-Center'!$AK$4)+IF(3=Assumptions!$B$15,('Per-Center'!$AJ$4/Assumptions!$B$16-('Per-Center'!$AO$4*(1+Assumptions!$B$23)^Assumptions!$B$15-'Per-Center'!$AK$4*((1+Assumptions!$B$23)^Assumptions!$B$15-1)/Assumptions!$B$23)),0))</f>
        <v/>
      </c>
      <c r="G4" s="57">
        <f>IF(4&gt;Assumptions!$B$15,0,(1*'Per-Center'!$AC$4-('Per-Center'!$AD$4+'Per-Center'!$AE$4+'Per-Center'!$AF$4)+('Per-Center'!$AG$4+'Per-Center'!$AH$4+'Per-Center'!$AI$4+Assumptions!$B$29)-'Per-Center'!$AK$4)+IF(4=Assumptions!$B$15,('Per-Center'!$AJ$4/Assumptions!$B$16-('Per-Center'!$AO$4*(1+Assumptions!$B$23)^Assumptions!$B$15-'Per-Center'!$AK$4*((1+Assumptions!$B$23)^Assumptions!$B$15-1)/Assumptions!$B$23)),0))</f>
        <v/>
      </c>
      <c r="H4" s="57">
        <f>IF(5&gt;Assumptions!$B$15,0,(1*'Per-Center'!$AC$4-('Per-Center'!$AD$4+'Per-Center'!$AE$4+'Per-Center'!$AF$4)+('Per-Center'!$AG$4+'Per-Center'!$AH$4+'Per-Center'!$AI$4+Assumptions!$B$29)-'Per-Center'!$AK$4)+IF(5=Assumptions!$B$15,('Per-Center'!$AJ$4/Assumptions!$B$16-('Per-Center'!$AO$4*(1+Assumptions!$B$23)^Assumptions!$B$15-'Per-Center'!$AK$4*((1+Assumptions!$B$23)^Assumptions!$B$15-1)/Assumptions!$B$23)),0))</f>
        <v/>
      </c>
      <c r="I4" s="57">
        <f>IF(6&gt;Assumptions!$B$15,0,(1*'Per-Center'!$AC$4-('Per-Center'!$AD$4+'Per-Center'!$AE$4+'Per-Center'!$AF$4)+('Per-Center'!$AG$4+'Per-Center'!$AH$4+'Per-Center'!$AI$4+Assumptions!$B$29)-'Per-Center'!$AK$4)+IF(6=Assumptions!$B$15,('Per-Center'!$AJ$4/Assumptions!$B$16-('Per-Center'!$AO$4*(1+Assumptions!$B$23)^Assumptions!$B$15-'Per-Center'!$AK$4*((1+Assumptions!$B$23)^Assumptions!$B$15-1)/Assumptions!$B$23)),0))</f>
        <v/>
      </c>
      <c r="J4" s="57">
        <f>IF(7&gt;Assumptions!$B$15,0,(1*'Per-Center'!$AC$4-('Per-Center'!$AD$4+'Per-Center'!$AE$4+'Per-Center'!$AF$4)+('Per-Center'!$AG$4+'Per-Center'!$AH$4+'Per-Center'!$AI$4+Assumptions!$B$29)-'Per-Center'!$AK$4)+IF(7=Assumptions!$B$15,('Per-Center'!$AJ$4/Assumptions!$B$16-('Per-Center'!$AO$4*(1+Assumptions!$B$23)^Assumptions!$B$15-'Per-Center'!$AK$4*((1+Assumptions!$B$23)^Assumptions!$B$15-1)/Assumptions!$B$23)),0))</f>
        <v/>
      </c>
      <c r="K4" s="86">
        <f>IF(8&gt;Assumptions!$B$15,0,(1*'Per-Center'!$AC$4-('Per-Center'!$AD$4+'Per-Center'!$AE$4+'Per-Center'!$AF$4)+('Per-Center'!$AG$4+'Per-Center'!$AH$4+'Per-Center'!$AI$4+Assumptions!$B$29)-'Per-Center'!$AK$4)+IF(8=Assumptions!$B$15,('Per-Center'!$AJ$4/Assumptions!$B$16-('Per-Center'!$AO$4*(1+Assumptions!$B$23)^Assumptions!$B$15-'Per-Center'!$AK$4*((1+Assumptions!$B$23)^Assumptions!$B$15-1)/Assumptions!$B$23)),0))</f>
        <v/>
      </c>
      <c r="L4" s="86">
        <f>IF(9&gt;Assumptions!$B$15,0,(1*'Per-Center'!$AC$4-('Per-Center'!$AD$4+'Per-Center'!$AE$4+'Per-Center'!$AF$4)+('Per-Center'!$AG$4+'Per-Center'!$AH$4+'Per-Center'!$AI$4+Assumptions!$B$29)-'Per-Center'!$AK$4)+IF(9=Assumptions!$B$15,('Per-Center'!$AJ$4/Assumptions!$B$16-('Per-Center'!$AO$4*(1+Assumptions!$B$23)^Assumptions!$B$15-'Per-Center'!$AK$4*((1+Assumptions!$B$23)^Assumptions!$B$15-1)/Assumptions!$B$23)),0))</f>
        <v/>
      </c>
      <c r="M4" s="86">
        <f>IF(10&gt;Assumptions!$B$15,0,(1*'Per-Center'!$AC$4-('Per-Center'!$AD$4+'Per-Center'!$AE$4+'Per-Center'!$AF$4)+('Per-Center'!$AG$4+'Per-Center'!$AH$4+'Per-Center'!$AI$4+Assumptions!$B$29)-'Per-Center'!$AK$4)+IF(10=Assumptions!$B$15,('Per-Center'!$AJ$4/Assumptions!$B$16-('Per-Center'!$AO$4*(1+Assumptions!$B$23)^Assumptions!$B$15-'Per-Center'!$AK$4*((1+Assumptions!$B$23)^Assumptions!$B$15-1)/Assumptions!$B$23)),0))</f>
        <v/>
      </c>
      <c r="N4" s="66">
        <f>IFERROR(IRR(D4:M4,0.1),-0.99)</f>
        <v/>
      </c>
      <c r="O4" s="63">
        <f>IF((0.5*'Per-Center'!$AC$4-('Per-Center'!$AD$4+'Per-Center'!$AE$4+'Per-Center'!$AF$4)+('Per-Center'!$AG$4+'Per-Center'!$AH$4+'Per-Center'!$AI$4+Assumptions!$B$29))&gt;='Per-Center'!$AK$4,1,IF((0.75*'Per-Center'!$AC$4-('Per-Center'!$AD$4+'Per-Center'!$AE$4+'Per-Center'!$AF$4)+('Per-Center'!$AG$4+'Per-Center'!$AH$4+'Per-Center'!$AI$4+Assumptions!$B$29))&gt;='Per-Center'!$AK$4,2,IF(('Per-Center'!$AC$4-('Per-Center'!$AD$4+'Per-Center'!$AE$4+'Per-Center'!$AF$4)+('Per-Center'!$AG$4+'Per-Center'!$AH$4+'Per-Center'!$AI$4+Assumptions!$B$29))&gt;='Per-Center'!$AK$4,3,"&gt;"&amp;Assumptions!$B$15)))</f>
        <v/>
      </c>
      <c r="P4" s="57">
        <f>'Per-Center'!$AJ$4/Assumptions!$B$16</f>
        <v/>
      </c>
    </row>
    <row r="5" ht="15" customHeight="1" s="41">
      <c r="A5" s="46" t="inlineStr">
        <is>
          <t>Temple</t>
        </is>
      </c>
      <c r="B5" s="46" t="inlineStr">
        <is>
          <t>Core</t>
        </is>
      </c>
      <c r="C5" s="57">
        <f>'Per-Center'!$AP$5</f>
        <v/>
      </c>
      <c r="D5" s="57">
        <f>IF(1&gt;Assumptions!$B$15,0,(0.5*'Per-Center'!$AC$5-('Per-Center'!$AD$5+'Per-Center'!$AE$5+'Per-Center'!$AF$5)+('Per-Center'!$AG$5+'Per-Center'!$AH$5+'Per-Center'!$AI$5+Assumptions!$B$29)-'Per-Center'!$AK$5)-'Per-Center'!$AP$5+IF(1=Assumptions!$B$15,('Per-Center'!$AJ$5/Assumptions!$B$16-('Per-Center'!$AO$5*(1+Assumptions!$B$23)^Assumptions!$B$15-'Per-Center'!$AK$5*((1+Assumptions!$B$23)^Assumptions!$B$15-1)/Assumptions!$B$23)),0))</f>
        <v/>
      </c>
      <c r="E5" s="57">
        <f>IF(2&gt;Assumptions!$B$15,0,(0.75*'Per-Center'!$AC$5-('Per-Center'!$AD$5+'Per-Center'!$AE$5+'Per-Center'!$AF$5)+('Per-Center'!$AG$5+'Per-Center'!$AH$5+'Per-Center'!$AI$5+Assumptions!$B$29)-'Per-Center'!$AK$5)+IF(2=Assumptions!$B$15,('Per-Center'!$AJ$5/Assumptions!$B$16-('Per-Center'!$AO$5*(1+Assumptions!$B$23)^Assumptions!$B$15-'Per-Center'!$AK$5*((1+Assumptions!$B$23)^Assumptions!$B$15-1)/Assumptions!$B$23)),0))</f>
        <v/>
      </c>
      <c r="F5" s="57">
        <f>IF(3&gt;Assumptions!$B$15,0,(1*'Per-Center'!$AC$5-('Per-Center'!$AD$5+'Per-Center'!$AE$5+'Per-Center'!$AF$5)+('Per-Center'!$AG$5+'Per-Center'!$AH$5+'Per-Center'!$AI$5+Assumptions!$B$29)-'Per-Center'!$AK$5)+IF(3=Assumptions!$B$15,('Per-Center'!$AJ$5/Assumptions!$B$16-('Per-Center'!$AO$5*(1+Assumptions!$B$23)^Assumptions!$B$15-'Per-Center'!$AK$5*((1+Assumptions!$B$23)^Assumptions!$B$15-1)/Assumptions!$B$23)),0))</f>
        <v/>
      </c>
      <c r="G5" s="57">
        <f>IF(4&gt;Assumptions!$B$15,0,(1*'Per-Center'!$AC$5-('Per-Center'!$AD$5+'Per-Center'!$AE$5+'Per-Center'!$AF$5)+('Per-Center'!$AG$5+'Per-Center'!$AH$5+'Per-Center'!$AI$5+Assumptions!$B$29)-'Per-Center'!$AK$5)+IF(4=Assumptions!$B$15,('Per-Center'!$AJ$5/Assumptions!$B$16-('Per-Center'!$AO$5*(1+Assumptions!$B$23)^Assumptions!$B$15-'Per-Center'!$AK$5*((1+Assumptions!$B$23)^Assumptions!$B$15-1)/Assumptions!$B$23)),0))</f>
        <v/>
      </c>
      <c r="H5" s="57">
        <f>IF(5&gt;Assumptions!$B$15,0,(1*'Per-Center'!$AC$5-('Per-Center'!$AD$5+'Per-Center'!$AE$5+'Per-Center'!$AF$5)+('Per-Center'!$AG$5+'Per-Center'!$AH$5+'Per-Center'!$AI$5+Assumptions!$B$29)-'Per-Center'!$AK$5)+IF(5=Assumptions!$B$15,('Per-Center'!$AJ$5/Assumptions!$B$16-('Per-Center'!$AO$5*(1+Assumptions!$B$23)^Assumptions!$B$15-'Per-Center'!$AK$5*((1+Assumptions!$B$23)^Assumptions!$B$15-1)/Assumptions!$B$23)),0))</f>
        <v/>
      </c>
      <c r="I5" s="57">
        <f>IF(6&gt;Assumptions!$B$15,0,(1*'Per-Center'!$AC$5-('Per-Center'!$AD$5+'Per-Center'!$AE$5+'Per-Center'!$AF$5)+('Per-Center'!$AG$5+'Per-Center'!$AH$5+'Per-Center'!$AI$5+Assumptions!$B$29)-'Per-Center'!$AK$5)+IF(6=Assumptions!$B$15,('Per-Center'!$AJ$5/Assumptions!$B$16-('Per-Center'!$AO$5*(1+Assumptions!$B$23)^Assumptions!$B$15-'Per-Center'!$AK$5*((1+Assumptions!$B$23)^Assumptions!$B$15-1)/Assumptions!$B$23)),0))</f>
        <v/>
      </c>
      <c r="J5" s="57">
        <f>IF(7&gt;Assumptions!$B$15,0,(1*'Per-Center'!$AC$5-('Per-Center'!$AD$5+'Per-Center'!$AE$5+'Per-Center'!$AF$5)+('Per-Center'!$AG$5+'Per-Center'!$AH$5+'Per-Center'!$AI$5+Assumptions!$B$29)-'Per-Center'!$AK$5)+IF(7=Assumptions!$B$15,('Per-Center'!$AJ$5/Assumptions!$B$16-('Per-Center'!$AO$5*(1+Assumptions!$B$23)^Assumptions!$B$15-'Per-Center'!$AK$5*((1+Assumptions!$B$23)^Assumptions!$B$15-1)/Assumptions!$B$23)),0))</f>
        <v/>
      </c>
      <c r="K5" s="86">
        <f>IF(8&gt;Assumptions!$B$15,0,(1*'Per-Center'!$AC$5-('Per-Center'!$AD$5+'Per-Center'!$AE$5+'Per-Center'!$AF$5)+('Per-Center'!$AG$5+'Per-Center'!$AH$5+'Per-Center'!$AI$5+Assumptions!$B$29)-'Per-Center'!$AK$5)+IF(8=Assumptions!$B$15,('Per-Center'!$AJ$5/Assumptions!$B$16-('Per-Center'!$AO$5*(1+Assumptions!$B$23)^Assumptions!$B$15-'Per-Center'!$AK$5*((1+Assumptions!$B$23)^Assumptions!$B$15-1)/Assumptions!$B$23)),0))</f>
        <v/>
      </c>
      <c r="L5" s="86">
        <f>IF(9&gt;Assumptions!$B$15,0,(1*'Per-Center'!$AC$5-('Per-Center'!$AD$5+'Per-Center'!$AE$5+'Per-Center'!$AF$5)+('Per-Center'!$AG$5+'Per-Center'!$AH$5+'Per-Center'!$AI$5+Assumptions!$B$29)-'Per-Center'!$AK$5)+IF(9=Assumptions!$B$15,('Per-Center'!$AJ$5/Assumptions!$B$16-('Per-Center'!$AO$5*(1+Assumptions!$B$23)^Assumptions!$B$15-'Per-Center'!$AK$5*((1+Assumptions!$B$23)^Assumptions!$B$15-1)/Assumptions!$B$23)),0))</f>
        <v/>
      </c>
      <c r="M5" s="86">
        <f>IF(10&gt;Assumptions!$B$15,0,(1*'Per-Center'!$AC$5-('Per-Center'!$AD$5+'Per-Center'!$AE$5+'Per-Center'!$AF$5)+('Per-Center'!$AG$5+'Per-Center'!$AH$5+'Per-Center'!$AI$5+Assumptions!$B$29)-'Per-Center'!$AK$5)+IF(10=Assumptions!$B$15,('Per-Center'!$AJ$5/Assumptions!$B$16-('Per-Center'!$AO$5*(1+Assumptions!$B$23)^Assumptions!$B$15-'Per-Center'!$AK$5*((1+Assumptions!$B$23)^Assumptions!$B$15-1)/Assumptions!$B$23)),0))</f>
        <v/>
      </c>
      <c r="N5" s="66">
        <f>IFERROR(IRR(D5:M5,0.1),-0.99)</f>
        <v/>
      </c>
      <c r="O5" s="63">
        <f>IF((0.5*'Per-Center'!$AC$5-('Per-Center'!$AD$5+'Per-Center'!$AE$5+'Per-Center'!$AF$5)+('Per-Center'!$AG$5+'Per-Center'!$AH$5+'Per-Center'!$AI$5+Assumptions!$B$29))&gt;='Per-Center'!$AK$5,1,IF((0.75*'Per-Center'!$AC$5-('Per-Center'!$AD$5+'Per-Center'!$AE$5+'Per-Center'!$AF$5)+('Per-Center'!$AG$5+'Per-Center'!$AH$5+'Per-Center'!$AI$5+Assumptions!$B$29))&gt;='Per-Center'!$AK$5,2,IF(('Per-Center'!$AC$5-('Per-Center'!$AD$5+'Per-Center'!$AE$5+'Per-Center'!$AF$5)+('Per-Center'!$AG$5+'Per-Center'!$AH$5+'Per-Center'!$AI$5+Assumptions!$B$29))&gt;='Per-Center'!$AK$5,3,"&gt;"&amp;Assumptions!$B$15)))</f>
        <v/>
      </c>
      <c r="P5" s="57">
        <f>'Per-Center'!$AJ$5/Assumptions!$B$16</f>
        <v/>
      </c>
    </row>
    <row r="6" ht="15" customHeight="1" s="41">
      <c r="A6" s="46" t="inlineStr">
        <is>
          <t>Waco</t>
        </is>
      </c>
      <c r="B6" s="46" t="inlineStr">
        <is>
          <t>Core</t>
        </is>
      </c>
      <c r="C6" s="57">
        <f>'Per-Center'!$AP$6</f>
        <v/>
      </c>
      <c r="D6" s="57">
        <f>IF(1&gt;Assumptions!$B$15,0,(0.5*'Per-Center'!$AC$6-('Per-Center'!$AD$6+'Per-Center'!$AE$6+'Per-Center'!$AF$6)+('Per-Center'!$AG$6+'Per-Center'!$AH$6+'Per-Center'!$AI$6+Assumptions!$B$29)-'Per-Center'!$AK$6)-'Per-Center'!$AP$6+IF(1=Assumptions!$B$15,('Per-Center'!$AJ$6/Assumptions!$B$16-('Per-Center'!$AO$6*(1+Assumptions!$B$23)^Assumptions!$B$15-'Per-Center'!$AK$6*((1+Assumptions!$B$23)^Assumptions!$B$15-1)/Assumptions!$B$23)),0))</f>
        <v/>
      </c>
      <c r="E6" s="57">
        <f>IF(2&gt;Assumptions!$B$15,0,(0.75*'Per-Center'!$AC$6-('Per-Center'!$AD$6+'Per-Center'!$AE$6+'Per-Center'!$AF$6)+('Per-Center'!$AG$6+'Per-Center'!$AH$6+'Per-Center'!$AI$6+Assumptions!$B$29)-'Per-Center'!$AK$6)+IF(2=Assumptions!$B$15,('Per-Center'!$AJ$6/Assumptions!$B$16-('Per-Center'!$AO$6*(1+Assumptions!$B$23)^Assumptions!$B$15-'Per-Center'!$AK$6*((1+Assumptions!$B$23)^Assumptions!$B$15-1)/Assumptions!$B$23)),0))</f>
        <v/>
      </c>
      <c r="F6" s="57">
        <f>IF(3&gt;Assumptions!$B$15,0,(1*'Per-Center'!$AC$6-('Per-Center'!$AD$6+'Per-Center'!$AE$6+'Per-Center'!$AF$6)+('Per-Center'!$AG$6+'Per-Center'!$AH$6+'Per-Center'!$AI$6+Assumptions!$B$29)-'Per-Center'!$AK$6)+IF(3=Assumptions!$B$15,('Per-Center'!$AJ$6/Assumptions!$B$16-('Per-Center'!$AO$6*(1+Assumptions!$B$23)^Assumptions!$B$15-'Per-Center'!$AK$6*((1+Assumptions!$B$23)^Assumptions!$B$15-1)/Assumptions!$B$23)),0))</f>
        <v/>
      </c>
      <c r="G6" s="57">
        <f>IF(4&gt;Assumptions!$B$15,0,(1*'Per-Center'!$AC$6-('Per-Center'!$AD$6+'Per-Center'!$AE$6+'Per-Center'!$AF$6)+('Per-Center'!$AG$6+'Per-Center'!$AH$6+'Per-Center'!$AI$6+Assumptions!$B$29)-'Per-Center'!$AK$6)+IF(4=Assumptions!$B$15,('Per-Center'!$AJ$6/Assumptions!$B$16-('Per-Center'!$AO$6*(1+Assumptions!$B$23)^Assumptions!$B$15-'Per-Center'!$AK$6*((1+Assumptions!$B$23)^Assumptions!$B$15-1)/Assumptions!$B$23)),0))</f>
        <v/>
      </c>
      <c r="H6" s="57">
        <f>IF(5&gt;Assumptions!$B$15,0,(1*'Per-Center'!$AC$6-('Per-Center'!$AD$6+'Per-Center'!$AE$6+'Per-Center'!$AF$6)+('Per-Center'!$AG$6+'Per-Center'!$AH$6+'Per-Center'!$AI$6+Assumptions!$B$29)-'Per-Center'!$AK$6)+IF(5=Assumptions!$B$15,('Per-Center'!$AJ$6/Assumptions!$B$16-('Per-Center'!$AO$6*(1+Assumptions!$B$23)^Assumptions!$B$15-'Per-Center'!$AK$6*((1+Assumptions!$B$23)^Assumptions!$B$15-1)/Assumptions!$B$23)),0))</f>
        <v/>
      </c>
      <c r="I6" s="57">
        <f>IF(6&gt;Assumptions!$B$15,0,(1*'Per-Center'!$AC$6-('Per-Center'!$AD$6+'Per-Center'!$AE$6+'Per-Center'!$AF$6)+('Per-Center'!$AG$6+'Per-Center'!$AH$6+'Per-Center'!$AI$6+Assumptions!$B$29)-'Per-Center'!$AK$6)+IF(6=Assumptions!$B$15,('Per-Center'!$AJ$6/Assumptions!$B$16-('Per-Center'!$AO$6*(1+Assumptions!$B$23)^Assumptions!$B$15-'Per-Center'!$AK$6*((1+Assumptions!$B$23)^Assumptions!$B$15-1)/Assumptions!$B$23)),0))</f>
        <v/>
      </c>
      <c r="J6" s="57">
        <f>IF(7&gt;Assumptions!$B$15,0,(1*'Per-Center'!$AC$6-('Per-Center'!$AD$6+'Per-Center'!$AE$6+'Per-Center'!$AF$6)+('Per-Center'!$AG$6+'Per-Center'!$AH$6+'Per-Center'!$AI$6+Assumptions!$B$29)-'Per-Center'!$AK$6)+IF(7=Assumptions!$B$15,('Per-Center'!$AJ$6/Assumptions!$B$16-('Per-Center'!$AO$6*(1+Assumptions!$B$23)^Assumptions!$B$15-'Per-Center'!$AK$6*((1+Assumptions!$B$23)^Assumptions!$B$15-1)/Assumptions!$B$23)),0))</f>
        <v/>
      </c>
      <c r="K6" s="86">
        <f>IF(8&gt;Assumptions!$B$15,0,(1*'Per-Center'!$AC$6-('Per-Center'!$AD$6+'Per-Center'!$AE$6+'Per-Center'!$AF$6)+('Per-Center'!$AG$6+'Per-Center'!$AH$6+'Per-Center'!$AI$6+Assumptions!$B$29)-'Per-Center'!$AK$6)+IF(8=Assumptions!$B$15,('Per-Center'!$AJ$6/Assumptions!$B$16-('Per-Center'!$AO$6*(1+Assumptions!$B$23)^Assumptions!$B$15-'Per-Center'!$AK$6*((1+Assumptions!$B$23)^Assumptions!$B$15-1)/Assumptions!$B$23)),0))</f>
        <v/>
      </c>
      <c r="L6" s="86">
        <f>IF(9&gt;Assumptions!$B$15,0,(1*'Per-Center'!$AC$6-('Per-Center'!$AD$6+'Per-Center'!$AE$6+'Per-Center'!$AF$6)+('Per-Center'!$AG$6+'Per-Center'!$AH$6+'Per-Center'!$AI$6+Assumptions!$B$29)-'Per-Center'!$AK$6)+IF(9=Assumptions!$B$15,('Per-Center'!$AJ$6/Assumptions!$B$16-('Per-Center'!$AO$6*(1+Assumptions!$B$23)^Assumptions!$B$15-'Per-Center'!$AK$6*((1+Assumptions!$B$23)^Assumptions!$B$15-1)/Assumptions!$B$23)),0))</f>
        <v/>
      </c>
      <c r="M6" s="86">
        <f>IF(10&gt;Assumptions!$B$15,0,(1*'Per-Center'!$AC$6-('Per-Center'!$AD$6+'Per-Center'!$AE$6+'Per-Center'!$AF$6)+('Per-Center'!$AG$6+'Per-Center'!$AH$6+'Per-Center'!$AI$6+Assumptions!$B$29)-'Per-Center'!$AK$6)+IF(10=Assumptions!$B$15,('Per-Center'!$AJ$6/Assumptions!$B$16-('Per-Center'!$AO$6*(1+Assumptions!$B$23)^Assumptions!$B$15-'Per-Center'!$AK$6*((1+Assumptions!$B$23)^Assumptions!$B$15-1)/Assumptions!$B$23)),0))</f>
        <v/>
      </c>
      <c r="N6" s="66">
        <f>IFERROR(IRR(D6:M6,0.1),-0.99)</f>
        <v/>
      </c>
      <c r="O6" s="63">
        <f>IF((0.5*'Per-Center'!$AC$6-('Per-Center'!$AD$6+'Per-Center'!$AE$6+'Per-Center'!$AF$6)+('Per-Center'!$AG$6+'Per-Center'!$AH$6+'Per-Center'!$AI$6+Assumptions!$B$29))&gt;='Per-Center'!$AK$6,1,IF((0.75*'Per-Center'!$AC$6-('Per-Center'!$AD$6+'Per-Center'!$AE$6+'Per-Center'!$AF$6)+('Per-Center'!$AG$6+'Per-Center'!$AH$6+'Per-Center'!$AI$6+Assumptions!$B$29))&gt;='Per-Center'!$AK$6,2,IF(('Per-Center'!$AC$6-('Per-Center'!$AD$6+'Per-Center'!$AE$6+'Per-Center'!$AF$6)+('Per-Center'!$AG$6+'Per-Center'!$AH$6+'Per-Center'!$AI$6+Assumptions!$B$29))&gt;='Per-Center'!$AK$6,3,"&gt;"&amp;Assumptions!$B$15)))</f>
        <v/>
      </c>
      <c r="P6" s="57">
        <f>'Per-Center'!$AJ$6/Assumptions!$B$16</f>
        <v/>
      </c>
    </row>
    <row r="7" ht="15" customHeight="1" s="41">
      <c r="A7" s="46" t="inlineStr">
        <is>
          <t>Cedar Park</t>
        </is>
      </c>
      <c r="B7" s="46" t="inlineStr">
        <is>
          <t>Regional</t>
        </is>
      </c>
      <c r="C7" s="57">
        <f>'Per-Center'!$AP$7</f>
        <v/>
      </c>
      <c r="D7" s="57">
        <f>IF(1&gt;Assumptions!$B$15,0,(0.5*'Per-Center'!$AC$7-('Per-Center'!$AD$7+'Per-Center'!$AE$7+'Per-Center'!$AF$7)+('Per-Center'!$AG$7+'Per-Center'!$AH$7+'Per-Center'!$AI$7+Assumptions!$B$29)-'Per-Center'!$AK$7)-'Per-Center'!$AP$7+IF(1=Assumptions!$B$15,('Per-Center'!$AJ$7/Assumptions!$B$16-('Per-Center'!$AO$7*(1+Assumptions!$B$23)^Assumptions!$B$15-'Per-Center'!$AK$7*((1+Assumptions!$B$23)^Assumptions!$B$15-1)/Assumptions!$B$23)),0))</f>
        <v/>
      </c>
      <c r="E7" s="57">
        <f>IF(2&gt;Assumptions!$B$15,0,(0.75*'Per-Center'!$AC$7-('Per-Center'!$AD$7+'Per-Center'!$AE$7+'Per-Center'!$AF$7)+('Per-Center'!$AG$7+'Per-Center'!$AH$7+'Per-Center'!$AI$7+Assumptions!$B$29)-'Per-Center'!$AK$7)+IF(2=Assumptions!$B$15,('Per-Center'!$AJ$7/Assumptions!$B$16-('Per-Center'!$AO$7*(1+Assumptions!$B$23)^Assumptions!$B$15-'Per-Center'!$AK$7*((1+Assumptions!$B$23)^Assumptions!$B$15-1)/Assumptions!$B$23)),0))</f>
        <v/>
      </c>
      <c r="F7" s="57">
        <f>IF(3&gt;Assumptions!$B$15,0,(1*'Per-Center'!$AC$7-('Per-Center'!$AD$7+'Per-Center'!$AE$7+'Per-Center'!$AF$7)+('Per-Center'!$AG$7+'Per-Center'!$AH$7+'Per-Center'!$AI$7+Assumptions!$B$29)-'Per-Center'!$AK$7)+IF(3=Assumptions!$B$15,('Per-Center'!$AJ$7/Assumptions!$B$16-('Per-Center'!$AO$7*(1+Assumptions!$B$23)^Assumptions!$B$15-'Per-Center'!$AK$7*((1+Assumptions!$B$23)^Assumptions!$B$15-1)/Assumptions!$B$23)),0))</f>
        <v/>
      </c>
      <c r="G7" s="57">
        <f>IF(4&gt;Assumptions!$B$15,0,(1*'Per-Center'!$AC$7-('Per-Center'!$AD$7+'Per-Center'!$AE$7+'Per-Center'!$AF$7)+('Per-Center'!$AG$7+'Per-Center'!$AH$7+'Per-Center'!$AI$7+Assumptions!$B$29)-'Per-Center'!$AK$7)+IF(4=Assumptions!$B$15,('Per-Center'!$AJ$7/Assumptions!$B$16-('Per-Center'!$AO$7*(1+Assumptions!$B$23)^Assumptions!$B$15-'Per-Center'!$AK$7*((1+Assumptions!$B$23)^Assumptions!$B$15-1)/Assumptions!$B$23)),0))</f>
        <v/>
      </c>
      <c r="H7" s="57">
        <f>IF(5&gt;Assumptions!$B$15,0,(1*'Per-Center'!$AC$7-('Per-Center'!$AD$7+'Per-Center'!$AE$7+'Per-Center'!$AF$7)+('Per-Center'!$AG$7+'Per-Center'!$AH$7+'Per-Center'!$AI$7+Assumptions!$B$29)-'Per-Center'!$AK$7)+IF(5=Assumptions!$B$15,('Per-Center'!$AJ$7/Assumptions!$B$16-('Per-Center'!$AO$7*(1+Assumptions!$B$23)^Assumptions!$B$15-'Per-Center'!$AK$7*((1+Assumptions!$B$23)^Assumptions!$B$15-1)/Assumptions!$B$23)),0))</f>
        <v/>
      </c>
      <c r="I7" s="57">
        <f>IF(6&gt;Assumptions!$B$15,0,(1*'Per-Center'!$AC$7-('Per-Center'!$AD$7+'Per-Center'!$AE$7+'Per-Center'!$AF$7)+('Per-Center'!$AG$7+'Per-Center'!$AH$7+'Per-Center'!$AI$7+Assumptions!$B$29)-'Per-Center'!$AK$7)+IF(6=Assumptions!$B$15,('Per-Center'!$AJ$7/Assumptions!$B$16-('Per-Center'!$AO$7*(1+Assumptions!$B$23)^Assumptions!$B$15-'Per-Center'!$AK$7*((1+Assumptions!$B$23)^Assumptions!$B$15-1)/Assumptions!$B$23)),0))</f>
        <v/>
      </c>
      <c r="J7" s="57">
        <f>IF(7&gt;Assumptions!$B$15,0,(1*'Per-Center'!$AC$7-('Per-Center'!$AD$7+'Per-Center'!$AE$7+'Per-Center'!$AF$7)+('Per-Center'!$AG$7+'Per-Center'!$AH$7+'Per-Center'!$AI$7+Assumptions!$B$29)-'Per-Center'!$AK$7)+IF(7=Assumptions!$B$15,('Per-Center'!$AJ$7/Assumptions!$B$16-('Per-Center'!$AO$7*(1+Assumptions!$B$23)^Assumptions!$B$15-'Per-Center'!$AK$7*((1+Assumptions!$B$23)^Assumptions!$B$15-1)/Assumptions!$B$23)),0))</f>
        <v/>
      </c>
      <c r="K7" s="86">
        <f>IF(8&gt;Assumptions!$B$15,0,(1*'Per-Center'!$AC$7-('Per-Center'!$AD$7+'Per-Center'!$AE$7+'Per-Center'!$AF$7)+('Per-Center'!$AG$7+'Per-Center'!$AH$7+'Per-Center'!$AI$7+Assumptions!$B$29)-'Per-Center'!$AK$7)+IF(8=Assumptions!$B$15,('Per-Center'!$AJ$7/Assumptions!$B$16-('Per-Center'!$AO$7*(1+Assumptions!$B$23)^Assumptions!$B$15-'Per-Center'!$AK$7*((1+Assumptions!$B$23)^Assumptions!$B$15-1)/Assumptions!$B$23)),0))</f>
        <v/>
      </c>
      <c r="L7" s="86">
        <f>IF(9&gt;Assumptions!$B$15,0,(1*'Per-Center'!$AC$7-('Per-Center'!$AD$7+'Per-Center'!$AE$7+'Per-Center'!$AF$7)+('Per-Center'!$AG$7+'Per-Center'!$AH$7+'Per-Center'!$AI$7+Assumptions!$B$29)-'Per-Center'!$AK$7)+IF(9=Assumptions!$B$15,('Per-Center'!$AJ$7/Assumptions!$B$16-('Per-Center'!$AO$7*(1+Assumptions!$B$23)^Assumptions!$B$15-'Per-Center'!$AK$7*((1+Assumptions!$B$23)^Assumptions!$B$15-1)/Assumptions!$B$23)),0))</f>
        <v/>
      </c>
      <c r="M7" s="86">
        <f>IF(10&gt;Assumptions!$B$15,0,(1*'Per-Center'!$AC$7-('Per-Center'!$AD$7+'Per-Center'!$AE$7+'Per-Center'!$AF$7)+('Per-Center'!$AG$7+'Per-Center'!$AH$7+'Per-Center'!$AI$7+Assumptions!$B$29)-'Per-Center'!$AK$7)+IF(10=Assumptions!$B$15,('Per-Center'!$AJ$7/Assumptions!$B$16-('Per-Center'!$AO$7*(1+Assumptions!$B$23)^Assumptions!$B$15-'Per-Center'!$AK$7*((1+Assumptions!$B$23)^Assumptions!$B$15-1)/Assumptions!$B$23)),0))</f>
        <v/>
      </c>
      <c r="N7" s="66">
        <f>IFERROR(IRR(D7:M7,0.1),-0.99)</f>
        <v/>
      </c>
      <c r="O7" s="63">
        <f>IF((0.5*'Per-Center'!$AC$7-('Per-Center'!$AD$7+'Per-Center'!$AE$7+'Per-Center'!$AF$7)+('Per-Center'!$AG$7+'Per-Center'!$AH$7+'Per-Center'!$AI$7+Assumptions!$B$29))&gt;='Per-Center'!$AK$7,1,IF((0.75*'Per-Center'!$AC$7-('Per-Center'!$AD$7+'Per-Center'!$AE$7+'Per-Center'!$AF$7)+('Per-Center'!$AG$7+'Per-Center'!$AH$7+'Per-Center'!$AI$7+Assumptions!$B$29))&gt;='Per-Center'!$AK$7,2,IF(('Per-Center'!$AC$7-('Per-Center'!$AD$7+'Per-Center'!$AE$7+'Per-Center'!$AF$7)+('Per-Center'!$AG$7+'Per-Center'!$AH$7+'Per-Center'!$AI$7+Assumptions!$B$29))&gt;='Per-Center'!$AK$7,3,"&gt;"&amp;Assumptions!$B$15)))</f>
        <v/>
      </c>
      <c r="P7" s="57">
        <f>'Per-Center'!$AJ$7/Assumptions!$B$16</f>
        <v/>
      </c>
    </row>
    <row r="8" ht="15" customHeight="1" s="41">
      <c r="A8" s="46" t="inlineStr">
        <is>
          <t>Georgetown</t>
        </is>
      </c>
      <c r="B8" s="46" t="inlineStr">
        <is>
          <t>Regional</t>
        </is>
      </c>
      <c r="C8" s="57">
        <f>'Per-Center'!$AP$8</f>
        <v/>
      </c>
      <c r="D8" s="57">
        <f>IF(1&gt;Assumptions!$B$15,0,(0.5*'Per-Center'!$AC$8-('Per-Center'!$AD$8+'Per-Center'!$AE$8+'Per-Center'!$AF$8)+('Per-Center'!$AG$8+'Per-Center'!$AH$8+'Per-Center'!$AI$8+Assumptions!$B$29)-'Per-Center'!$AK$8)-'Per-Center'!$AP$8+IF(1=Assumptions!$B$15,('Per-Center'!$AJ$8/Assumptions!$B$16-('Per-Center'!$AO$8*(1+Assumptions!$B$23)^Assumptions!$B$15-'Per-Center'!$AK$8*((1+Assumptions!$B$23)^Assumptions!$B$15-1)/Assumptions!$B$23)),0))</f>
        <v/>
      </c>
      <c r="E8" s="57">
        <f>IF(2&gt;Assumptions!$B$15,0,(0.75*'Per-Center'!$AC$8-('Per-Center'!$AD$8+'Per-Center'!$AE$8+'Per-Center'!$AF$8)+('Per-Center'!$AG$8+'Per-Center'!$AH$8+'Per-Center'!$AI$8+Assumptions!$B$29)-'Per-Center'!$AK$8)+IF(2=Assumptions!$B$15,('Per-Center'!$AJ$8/Assumptions!$B$16-('Per-Center'!$AO$8*(1+Assumptions!$B$23)^Assumptions!$B$15-'Per-Center'!$AK$8*((1+Assumptions!$B$23)^Assumptions!$B$15-1)/Assumptions!$B$23)),0))</f>
        <v/>
      </c>
      <c r="F8" s="57">
        <f>IF(3&gt;Assumptions!$B$15,0,(1*'Per-Center'!$AC$8-('Per-Center'!$AD$8+'Per-Center'!$AE$8+'Per-Center'!$AF$8)+('Per-Center'!$AG$8+'Per-Center'!$AH$8+'Per-Center'!$AI$8+Assumptions!$B$29)-'Per-Center'!$AK$8)+IF(3=Assumptions!$B$15,('Per-Center'!$AJ$8/Assumptions!$B$16-('Per-Center'!$AO$8*(1+Assumptions!$B$23)^Assumptions!$B$15-'Per-Center'!$AK$8*((1+Assumptions!$B$23)^Assumptions!$B$15-1)/Assumptions!$B$23)),0))</f>
        <v/>
      </c>
      <c r="G8" s="57">
        <f>IF(4&gt;Assumptions!$B$15,0,(1*'Per-Center'!$AC$8-('Per-Center'!$AD$8+'Per-Center'!$AE$8+'Per-Center'!$AF$8)+('Per-Center'!$AG$8+'Per-Center'!$AH$8+'Per-Center'!$AI$8+Assumptions!$B$29)-'Per-Center'!$AK$8)+IF(4=Assumptions!$B$15,('Per-Center'!$AJ$8/Assumptions!$B$16-('Per-Center'!$AO$8*(1+Assumptions!$B$23)^Assumptions!$B$15-'Per-Center'!$AK$8*((1+Assumptions!$B$23)^Assumptions!$B$15-1)/Assumptions!$B$23)),0))</f>
        <v/>
      </c>
      <c r="H8" s="57">
        <f>IF(5&gt;Assumptions!$B$15,0,(1*'Per-Center'!$AC$8-('Per-Center'!$AD$8+'Per-Center'!$AE$8+'Per-Center'!$AF$8)+('Per-Center'!$AG$8+'Per-Center'!$AH$8+'Per-Center'!$AI$8+Assumptions!$B$29)-'Per-Center'!$AK$8)+IF(5=Assumptions!$B$15,('Per-Center'!$AJ$8/Assumptions!$B$16-('Per-Center'!$AO$8*(1+Assumptions!$B$23)^Assumptions!$B$15-'Per-Center'!$AK$8*((1+Assumptions!$B$23)^Assumptions!$B$15-1)/Assumptions!$B$23)),0))</f>
        <v/>
      </c>
      <c r="I8" s="57">
        <f>IF(6&gt;Assumptions!$B$15,0,(1*'Per-Center'!$AC$8-('Per-Center'!$AD$8+'Per-Center'!$AE$8+'Per-Center'!$AF$8)+('Per-Center'!$AG$8+'Per-Center'!$AH$8+'Per-Center'!$AI$8+Assumptions!$B$29)-'Per-Center'!$AK$8)+IF(6=Assumptions!$B$15,('Per-Center'!$AJ$8/Assumptions!$B$16-('Per-Center'!$AO$8*(1+Assumptions!$B$23)^Assumptions!$B$15-'Per-Center'!$AK$8*((1+Assumptions!$B$23)^Assumptions!$B$15-1)/Assumptions!$B$23)),0))</f>
        <v/>
      </c>
      <c r="J8" s="57">
        <f>IF(7&gt;Assumptions!$B$15,0,(1*'Per-Center'!$AC$8-('Per-Center'!$AD$8+'Per-Center'!$AE$8+'Per-Center'!$AF$8)+('Per-Center'!$AG$8+'Per-Center'!$AH$8+'Per-Center'!$AI$8+Assumptions!$B$29)-'Per-Center'!$AK$8)+IF(7=Assumptions!$B$15,('Per-Center'!$AJ$8/Assumptions!$B$16-('Per-Center'!$AO$8*(1+Assumptions!$B$23)^Assumptions!$B$15-'Per-Center'!$AK$8*((1+Assumptions!$B$23)^Assumptions!$B$15-1)/Assumptions!$B$23)),0))</f>
        <v/>
      </c>
      <c r="K8" s="86">
        <f>IF(8&gt;Assumptions!$B$15,0,(1*'Per-Center'!$AC$8-('Per-Center'!$AD$8+'Per-Center'!$AE$8+'Per-Center'!$AF$8)+('Per-Center'!$AG$8+'Per-Center'!$AH$8+'Per-Center'!$AI$8+Assumptions!$B$29)-'Per-Center'!$AK$8)+IF(8=Assumptions!$B$15,('Per-Center'!$AJ$8/Assumptions!$B$16-('Per-Center'!$AO$8*(1+Assumptions!$B$23)^Assumptions!$B$15-'Per-Center'!$AK$8*((1+Assumptions!$B$23)^Assumptions!$B$15-1)/Assumptions!$B$23)),0))</f>
        <v/>
      </c>
      <c r="L8" s="86">
        <f>IF(9&gt;Assumptions!$B$15,0,(1*'Per-Center'!$AC$8-('Per-Center'!$AD$8+'Per-Center'!$AE$8+'Per-Center'!$AF$8)+('Per-Center'!$AG$8+'Per-Center'!$AH$8+'Per-Center'!$AI$8+Assumptions!$B$29)-'Per-Center'!$AK$8)+IF(9=Assumptions!$B$15,('Per-Center'!$AJ$8/Assumptions!$B$16-('Per-Center'!$AO$8*(1+Assumptions!$B$23)^Assumptions!$B$15-'Per-Center'!$AK$8*((1+Assumptions!$B$23)^Assumptions!$B$15-1)/Assumptions!$B$23)),0))</f>
        <v/>
      </c>
      <c r="M8" s="86">
        <f>IF(10&gt;Assumptions!$B$15,0,(1*'Per-Center'!$AC$8-('Per-Center'!$AD$8+'Per-Center'!$AE$8+'Per-Center'!$AF$8)+('Per-Center'!$AG$8+'Per-Center'!$AH$8+'Per-Center'!$AI$8+Assumptions!$B$29)-'Per-Center'!$AK$8)+IF(10=Assumptions!$B$15,('Per-Center'!$AJ$8/Assumptions!$B$16-('Per-Center'!$AO$8*(1+Assumptions!$B$23)^Assumptions!$B$15-'Per-Center'!$AK$8*((1+Assumptions!$B$23)^Assumptions!$B$15-1)/Assumptions!$B$23)),0))</f>
        <v/>
      </c>
      <c r="N8" s="66">
        <f>IFERROR(IRR(D8:M8,0.1),-0.99)</f>
        <v/>
      </c>
      <c r="O8" s="63">
        <f>IF((0.5*'Per-Center'!$AC$8-('Per-Center'!$AD$8+'Per-Center'!$AE$8+'Per-Center'!$AF$8)+('Per-Center'!$AG$8+'Per-Center'!$AH$8+'Per-Center'!$AI$8+Assumptions!$B$29))&gt;='Per-Center'!$AK$8,1,IF((0.75*'Per-Center'!$AC$8-('Per-Center'!$AD$8+'Per-Center'!$AE$8+'Per-Center'!$AF$8)+('Per-Center'!$AG$8+'Per-Center'!$AH$8+'Per-Center'!$AI$8+Assumptions!$B$29))&gt;='Per-Center'!$AK$8,2,IF(('Per-Center'!$AC$8-('Per-Center'!$AD$8+'Per-Center'!$AE$8+'Per-Center'!$AF$8)+('Per-Center'!$AG$8+'Per-Center'!$AH$8+'Per-Center'!$AI$8+Assumptions!$B$29))&gt;='Per-Center'!$AK$8,3,"&gt;"&amp;Assumptions!$B$15)))</f>
        <v/>
      </c>
      <c r="P8" s="57">
        <f>'Per-Center'!$AJ$8/Assumptions!$B$16</f>
        <v/>
      </c>
    </row>
    <row r="9" ht="15" customHeight="1" s="41">
      <c r="A9" s="46" t="inlineStr">
        <is>
          <t>Leander</t>
        </is>
      </c>
      <c r="B9" s="46" t="inlineStr">
        <is>
          <t>Regional</t>
        </is>
      </c>
      <c r="C9" s="57">
        <f>'Per-Center'!$AP$9</f>
        <v/>
      </c>
      <c r="D9" s="57">
        <f>IF(1&gt;Assumptions!$B$15,0,(0.5*'Per-Center'!$AC$9-('Per-Center'!$AD$9+'Per-Center'!$AE$9+'Per-Center'!$AF$9)+('Per-Center'!$AG$9+'Per-Center'!$AH$9+'Per-Center'!$AI$9+Assumptions!$B$29)-'Per-Center'!$AK$9)-'Per-Center'!$AP$9+IF(1=Assumptions!$B$15,('Per-Center'!$AJ$9/Assumptions!$B$16-('Per-Center'!$AO$9*(1+Assumptions!$B$23)^Assumptions!$B$15-'Per-Center'!$AK$9*((1+Assumptions!$B$23)^Assumptions!$B$15-1)/Assumptions!$B$23)),0))</f>
        <v/>
      </c>
      <c r="E9" s="57">
        <f>IF(2&gt;Assumptions!$B$15,0,(0.75*'Per-Center'!$AC$9-('Per-Center'!$AD$9+'Per-Center'!$AE$9+'Per-Center'!$AF$9)+('Per-Center'!$AG$9+'Per-Center'!$AH$9+'Per-Center'!$AI$9+Assumptions!$B$29)-'Per-Center'!$AK$9)+IF(2=Assumptions!$B$15,('Per-Center'!$AJ$9/Assumptions!$B$16-('Per-Center'!$AO$9*(1+Assumptions!$B$23)^Assumptions!$B$15-'Per-Center'!$AK$9*((1+Assumptions!$B$23)^Assumptions!$B$15-1)/Assumptions!$B$23)),0))</f>
        <v/>
      </c>
      <c r="F9" s="57">
        <f>IF(3&gt;Assumptions!$B$15,0,(1*'Per-Center'!$AC$9-('Per-Center'!$AD$9+'Per-Center'!$AE$9+'Per-Center'!$AF$9)+('Per-Center'!$AG$9+'Per-Center'!$AH$9+'Per-Center'!$AI$9+Assumptions!$B$29)-'Per-Center'!$AK$9)+IF(3=Assumptions!$B$15,('Per-Center'!$AJ$9/Assumptions!$B$16-('Per-Center'!$AO$9*(1+Assumptions!$B$23)^Assumptions!$B$15-'Per-Center'!$AK$9*((1+Assumptions!$B$23)^Assumptions!$B$15-1)/Assumptions!$B$23)),0))</f>
        <v/>
      </c>
      <c r="G9" s="57">
        <f>IF(4&gt;Assumptions!$B$15,0,(1*'Per-Center'!$AC$9-('Per-Center'!$AD$9+'Per-Center'!$AE$9+'Per-Center'!$AF$9)+('Per-Center'!$AG$9+'Per-Center'!$AH$9+'Per-Center'!$AI$9+Assumptions!$B$29)-'Per-Center'!$AK$9)+IF(4=Assumptions!$B$15,('Per-Center'!$AJ$9/Assumptions!$B$16-('Per-Center'!$AO$9*(1+Assumptions!$B$23)^Assumptions!$B$15-'Per-Center'!$AK$9*((1+Assumptions!$B$23)^Assumptions!$B$15-1)/Assumptions!$B$23)),0))</f>
        <v/>
      </c>
      <c r="H9" s="57">
        <f>IF(5&gt;Assumptions!$B$15,0,(1*'Per-Center'!$AC$9-('Per-Center'!$AD$9+'Per-Center'!$AE$9+'Per-Center'!$AF$9)+('Per-Center'!$AG$9+'Per-Center'!$AH$9+'Per-Center'!$AI$9+Assumptions!$B$29)-'Per-Center'!$AK$9)+IF(5=Assumptions!$B$15,('Per-Center'!$AJ$9/Assumptions!$B$16-('Per-Center'!$AO$9*(1+Assumptions!$B$23)^Assumptions!$B$15-'Per-Center'!$AK$9*((1+Assumptions!$B$23)^Assumptions!$B$15-1)/Assumptions!$B$23)),0))</f>
        <v/>
      </c>
      <c r="I9" s="57">
        <f>IF(6&gt;Assumptions!$B$15,0,(1*'Per-Center'!$AC$9-('Per-Center'!$AD$9+'Per-Center'!$AE$9+'Per-Center'!$AF$9)+('Per-Center'!$AG$9+'Per-Center'!$AH$9+'Per-Center'!$AI$9+Assumptions!$B$29)-'Per-Center'!$AK$9)+IF(6=Assumptions!$B$15,('Per-Center'!$AJ$9/Assumptions!$B$16-('Per-Center'!$AO$9*(1+Assumptions!$B$23)^Assumptions!$B$15-'Per-Center'!$AK$9*((1+Assumptions!$B$23)^Assumptions!$B$15-1)/Assumptions!$B$23)),0))</f>
        <v/>
      </c>
      <c r="J9" s="57">
        <f>IF(7&gt;Assumptions!$B$15,0,(1*'Per-Center'!$AC$9-('Per-Center'!$AD$9+'Per-Center'!$AE$9+'Per-Center'!$AF$9)+('Per-Center'!$AG$9+'Per-Center'!$AH$9+'Per-Center'!$AI$9+Assumptions!$B$29)-'Per-Center'!$AK$9)+IF(7=Assumptions!$B$15,('Per-Center'!$AJ$9/Assumptions!$B$16-('Per-Center'!$AO$9*(1+Assumptions!$B$23)^Assumptions!$B$15-'Per-Center'!$AK$9*((1+Assumptions!$B$23)^Assumptions!$B$15-1)/Assumptions!$B$23)),0))</f>
        <v/>
      </c>
      <c r="K9" s="86">
        <f>IF(8&gt;Assumptions!$B$15,0,(1*'Per-Center'!$AC$9-('Per-Center'!$AD$9+'Per-Center'!$AE$9+'Per-Center'!$AF$9)+('Per-Center'!$AG$9+'Per-Center'!$AH$9+'Per-Center'!$AI$9+Assumptions!$B$29)-'Per-Center'!$AK$9)+IF(8=Assumptions!$B$15,('Per-Center'!$AJ$9/Assumptions!$B$16-('Per-Center'!$AO$9*(1+Assumptions!$B$23)^Assumptions!$B$15-'Per-Center'!$AK$9*((1+Assumptions!$B$23)^Assumptions!$B$15-1)/Assumptions!$B$23)),0))</f>
        <v/>
      </c>
      <c r="L9" s="86">
        <f>IF(9&gt;Assumptions!$B$15,0,(1*'Per-Center'!$AC$9-('Per-Center'!$AD$9+'Per-Center'!$AE$9+'Per-Center'!$AF$9)+('Per-Center'!$AG$9+'Per-Center'!$AH$9+'Per-Center'!$AI$9+Assumptions!$B$29)-'Per-Center'!$AK$9)+IF(9=Assumptions!$B$15,('Per-Center'!$AJ$9/Assumptions!$B$16-('Per-Center'!$AO$9*(1+Assumptions!$B$23)^Assumptions!$B$15-'Per-Center'!$AK$9*((1+Assumptions!$B$23)^Assumptions!$B$15-1)/Assumptions!$B$23)),0))</f>
        <v/>
      </c>
      <c r="M9" s="86">
        <f>IF(10&gt;Assumptions!$B$15,0,(1*'Per-Center'!$AC$9-('Per-Center'!$AD$9+'Per-Center'!$AE$9+'Per-Center'!$AF$9)+('Per-Center'!$AG$9+'Per-Center'!$AH$9+'Per-Center'!$AI$9+Assumptions!$B$29)-'Per-Center'!$AK$9)+IF(10=Assumptions!$B$15,('Per-Center'!$AJ$9/Assumptions!$B$16-('Per-Center'!$AO$9*(1+Assumptions!$B$23)^Assumptions!$B$15-'Per-Center'!$AK$9*((1+Assumptions!$B$23)^Assumptions!$B$15-1)/Assumptions!$B$23)),0))</f>
        <v/>
      </c>
      <c r="N9" s="66">
        <f>IFERROR(IRR(D9:M9,0.1),-0.99)</f>
        <v/>
      </c>
      <c r="O9" s="63">
        <f>IF((0.5*'Per-Center'!$AC$9-('Per-Center'!$AD$9+'Per-Center'!$AE$9+'Per-Center'!$AF$9)+('Per-Center'!$AG$9+'Per-Center'!$AH$9+'Per-Center'!$AI$9+Assumptions!$B$29))&gt;='Per-Center'!$AK$9,1,IF((0.75*'Per-Center'!$AC$9-('Per-Center'!$AD$9+'Per-Center'!$AE$9+'Per-Center'!$AF$9)+('Per-Center'!$AG$9+'Per-Center'!$AH$9+'Per-Center'!$AI$9+Assumptions!$B$29))&gt;='Per-Center'!$AK$9,2,IF(('Per-Center'!$AC$9-('Per-Center'!$AD$9+'Per-Center'!$AE$9+'Per-Center'!$AF$9)+('Per-Center'!$AG$9+'Per-Center'!$AH$9+'Per-Center'!$AI$9+Assumptions!$B$29))&gt;='Per-Center'!$AK$9,3,"&gt;"&amp;Assumptions!$B$15)))</f>
        <v/>
      </c>
      <c r="P9" s="57">
        <f>'Per-Center'!$AJ$9/Assumptions!$B$16</f>
        <v/>
      </c>
    </row>
    <row r="10" ht="15" customHeight="1" s="41">
      <c r="A10" s="46" t="inlineStr">
        <is>
          <t>Hutto</t>
        </is>
      </c>
      <c r="B10" s="46" t="inlineStr">
        <is>
          <t>Regional</t>
        </is>
      </c>
      <c r="C10" s="57">
        <f>'Per-Center'!$AP$10</f>
        <v/>
      </c>
      <c r="D10" s="57">
        <f>IF(1&gt;Assumptions!$B$15,0,(0.5*'Per-Center'!$AC$10-('Per-Center'!$AD$10+'Per-Center'!$AE$10+'Per-Center'!$AF$10)+('Per-Center'!$AG$10+'Per-Center'!$AH$10+'Per-Center'!$AI$10+Assumptions!$B$29)-'Per-Center'!$AK$10)-'Per-Center'!$AP$10+IF(1=Assumptions!$B$15,('Per-Center'!$AJ$10/Assumptions!$B$16-('Per-Center'!$AO$10*(1+Assumptions!$B$23)^Assumptions!$B$15-'Per-Center'!$AK$10*((1+Assumptions!$B$23)^Assumptions!$B$15-1)/Assumptions!$B$23)),0))</f>
        <v/>
      </c>
      <c r="E10" s="57">
        <f>IF(2&gt;Assumptions!$B$15,0,(0.75*'Per-Center'!$AC$10-('Per-Center'!$AD$10+'Per-Center'!$AE$10+'Per-Center'!$AF$10)+('Per-Center'!$AG$10+'Per-Center'!$AH$10+'Per-Center'!$AI$10+Assumptions!$B$29)-'Per-Center'!$AK$10)+IF(2=Assumptions!$B$15,('Per-Center'!$AJ$10/Assumptions!$B$16-('Per-Center'!$AO$10*(1+Assumptions!$B$23)^Assumptions!$B$15-'Per-Center'!$AK$10*((1+Assumptions!$B$23)^Assumptions!$B$15-1)/Assumptions!$B$23)),0))</f>
        <v/>
      </c>
      <c r="F10" s="57">
        <f>IF(3&gt;Assumptions!$B$15,0,(1*'Per-Center'!$AC$10-('Per-Center'!$AD$10+'Per-Center'!$AE$10+'Per-Center'!$AF$10)+('Per-Center'!$AG$10+'Per-Center'!$AH$10+'Per-Center'!$AI$10+Assumptions!$B$29)-'Per-Center'!$AK$10)+IF(3=Assumptions!$B$15,('Per-Center'!$AJ$10/Assumptions!$B$16-('Per-Center'!$AO$10*(1+Assumptions!$B$23)^Assumptions!$B$15-'Per-Center'!$AK$10*((1+Assumptions!$B$23)^Assumptions!$B$15-1)/Assumptions!$B$23)),0))</f>
        <v/>
      </c>
      <c r="G10" s="57">
        <f>IF(4&gt;Assumptions!$B$15,0,(1*'Per-Center'!$AC$10-('Per-Center'!$AD$10+'Per-Center'!$AE$10+'Per-Center'!$AF$10)+('Per-Center'!$AG$10+'Per-Center'!$AH$10+'Per-Center'!$AI$10+Assumptions!$B$29)-'Per-Center'!$AK$10)+IF(4=Assumptions!$B$15,('Per-Center'!$AJ$10/Assumptions!$B$16-('Per-Center'!$AO$10*(1+Assumptions!$B$23)^Assumptions!$B$15-'Per-Center'!$AK$10*((1+Assumptions!$B$23)^Assumptions!$B$15-1)/Assumptions!$B$23)),0))</f>
        <v/>
      </c>
      <c r="H10" s="57">
        <f>IF(5&gt;Assumptions!$B$15,0,(1*'Per-Center'!$AC$10-('Per-Center'!$AD$10+'Per-Center'!$AE$10+'Per-Center'!$AF$10)+('Per-Center'!$AG$10+'Per-Center'!$AH$10+'Per-Center'!$AI$10+Assumptions!$B$29)-'Per-Center'!$AK$10)+IF(5=Assumptions!$B$15,('Per-Center'!$AJ$10/Assumptions!$B$16-('Per-Center'!$AO$10*(1+Assumptions!$B$23)^Assumptions!$B$15-'Per-Center'!$AK$10*((1+Assumptions!$B$23)^Assumptions!$B$15-1)/Assumptions!$B$23)),0))</f>
        <v/>
      </c>
      <c r="I10" s="57">
        <f>IF(6&gt;Assumptions!$B$15,0,(1*'Per-Center'!$AC$10-('Per-Center'!$AD$10+'Per-Center'!$AE$10+'Per-Center'!$AF$10)+('Per-Center'!$AG$10+'Per-Center'!$AH$10+'Per-Center'!$AI$10+Assumptions!$B$29)-'Per-Center'!$AK$10)+IF(6=Assumptions!$B$15,('Per-Center'!$AJ$10/Assumptions!$B$16-('Per-Center'!$AO$10*(1+Assumptions!$B$23)^Assumptions!$B$15-'Per-Center'!$AK$10*((1+Assumptions!$B$23)^Assumptions!$B$15-1)/Assumptions!$B$23)),0))</f>
        <v/>
      </c>
      <c r="J10" s="57">
        <f>IF(7&gt;Assumptions!$B$15,0,(1*'Per-Center'!$AC$10-('Per-Center'!$AD$10+'Per-Center'!$AE$10+'Per-Center'!$AF$10)+('Per-Center'!$AG$10+'Per-Center'!$AH$10+'Per-Center'!$AI$10+Assumptions!$B$29)-'Per-Center'!$AK$10)+IF(7=Assumptions!$B$15,('Per-Center'!$AJ$10/Assumptions!$B$16-('Per-Center'!$AO$10*(1+Assumptions!$B$23)^Assumptions!$B$15-'Per-Center'!$AK$10*((1+Assumptions!$B$23)^Assumptions!$B$15-1)/Assumptions!$B$23)),0))</f>
        <v/>
      </c>
      <c r="K10" s="86">
        <f>IF(8&gt;Assumptions!$B$15,0,(1*'Per-Center'!$AC$10-('Per-Center'!$AD$10+'Per-Center'!$AE$10+'Per-Center'!$AF$10)+('Per-Center'!$AG$10+'Per-Center'!$AH$10+'Per-Center'!$AI$10+Assumptions!$B$29)-'Per-Center'!$AK$10)+IF(8=Assumptions!$B$15,('Per-Center'!$AJ$10/Assumptions!$B$16-('Per-Center'!$AO$10*(1+Assumptions!$B$23)^Assumptions!$B$15-'Per-Center'!$AK$10*((1+Assumptions!$B$23)^Assumptions!$B$15-1)/Assumptions!$B$23)),0))</f>
        <v/>
      </c>
      <c r="L10" s="86">
        <f>IF(9&gt;Assumptions!$B$15,0,(1*'Per-Center'!$AC$10-('Per-Center'!$AD$10+'Per-Center'!$AE$10+'Per-Center'!$AF$10)+('Per-Center'!$AG$10+'Per-Center'!$AH$10+'Per-Center'!$AI$10+Assumptions!$B$29)-'Per-Center'!$AK$10)+IF(9=Assumptions!$B$15,('Per-Center'!$AJ$10/Assumptions!$B$16-('Per-Center'!$AO$10*(1+Assumptions!$B$23)^Assumptions!$B$15-'Per-Center'!$AK$10*((1+Assumptions!$B$23)^Assumptions!$B$15-1)/Assumptions!$B$23)),0))</f>
        <v/>
      </c>
      <c r="M10" s="86">
        <f>IF(10&gt;Assumptions!$B$15,0,(1*'Per-Center'!$AC$10-('Per-Center'!$AD$10+'Per-Center'!$AE$10+'Per-Center'!$AF$10)+('Per-Center'!$AG$10+'Per-Center'!$AH$10+'Per-Center'!$AI$10+Assumptions!$B$29)-'Per-Center'!$AK$10)+IF(10=Assumptions!$B$15,('Per-Center'!$AJ$10/Assumptions!$B$16-('Per-Center'!$AO$10*(1+Assumptions!$B$23)^Assumptions!$B$15-'Per-Center'!$AK$10*((1+Assumptions!$B$23)^Assumptions!$B$15-1)/Assumptions!$B$23)),0))</f>
        <v/>
      </c>
      <c r="N10" s="66">
        <f>IFERROR(IRR(D10:M10,0.1),-0.99)</f>
        <v/>
      </c>
      <c r="O10" s="63">
        <f>IF((0.5*'Per-Center'!$AC$10-('Per-Center'!$AD$10+'Per-Center'!$AE$10+'Per-Center'!$AF$10)+('Per-Center'!$AG$10+'Per-Center'!$AH$10+'Per-Center'!$AI$10+Assumptions!$B$29))&gt;='Per-Center'!$AK$10,1,IF((0.75*'Per-Center'!$AC$10-('Per-Center'!$AD$10+'Per-Center'!$AE$10+'Per-Center'!$AF$10)+('Per-Center'!$AG$10+'Per-Center'!$AH$10+'Per-Center'!$AI$10+Assumptions!$B$29))&gt;='Per-Center'!$AK$10,2,IF(('Per-Center'!$AC$10-('Per-Center'!$AD$10+'Per-Center'!$AE$10+'Per-Center'!$AF$10)+('Per-Center'!$AG$10+'Per-Center'!$AH$10+'Per-Center'!$AI$10+Assumptions!$B$29))&gt;='Per-Center'!$AK$10,3,"&gt;"&amp;Assumptions!$B$15)))</f>
        <v/>
      </c>
      <c r="P10" s="57">
        <f>'Per-Center'!$AJ$10/Assumptions!$B$16</f>
        <v/>
      </c>
    </row>
    <row r="11" ht="15" customHeight="1" s="41">
      <c r="A11" s="46" t="inlineStr">
        <is>
          <t>Pflugerville</t>
        </is>
      </c>
      <c r="B11" s="46" t="inlineStr">
        <is>
          <t>Regional</t>
        </is>
      </c>
      <c r="C11" s="57">
        <f>'Per-Center'!$AP$11</f>
        <v/>
      </c>
      <c r="D11" s="57">
        <f>IF(1&gt;Assumptions!$B$15,0,(0.5*'Per-Center'!$AC$11-('Per-Center'!$AD$11+'Per-Center'!$AE$11+'Per-Center'!$AF$11)+('Per-Center'!$AG$11+'Per-Center'!$AH$11+'Per-Center'!$AI$11+Assumptions!$B$29)-'Per-Center'!$AK$11)-'Per-Center'!$AP$11+IF(1=Assumptions!$B$15,('Per-Center'!$AJ$11/Assumptions!$B$16-('Per-Center'!$AO$11*(1+Assumptions!$B$23)^Assumptions!$B$15-'Per-Center'!$AK$11*((1+Assumptions!$B$23)^Assumptions!$B$15-1)/Assumptions!$B$23)),0))</f>
        <v/>
      </c>
      <c r="E11" s="57">
        <f>IF(2&gt;Assumptions!$B$15,0,(0.75*'Per-Center'!$AC$11-('Per-Center'!$AD$11+'Per-Center'!$AE$11+'Per-Center'!$AF$11)+('Per-Center'!$AG$11+'Per-Center'!$AH$11+'Per-Center'!$AI$11+Assumptions!$B$29)-'Per-Center'!$AK$11)+IF(2=Assumptions!$B$15,('Per-Center'!$AJ$11/Assumptions!$B$16-('Per-Center'!$AO$11*(1+Assumptions!$B$23)^Assumptions!$B$15-'Per-Center'!$AK$11*((1+Assumptions!$B$23)^Assumptions!$B$15-1)/Assumptions!$B$23)),0))</f>
        <v/>
      </c>
      <c r="F11" s="57">
        <f>IF(3&gt;Assumptions!$B$15,0,(1*'Per-Center'!$AC$11-('Per-Center'!$AD$11+'Per-Center'!$AE$11+'Per-Center'!$AF$11)+('Per-Center'!$AG$11+'Per-Center'!$AH$11+'Per-Center'!$AI$11+Assumptions!$B$29)-'Per-Center'!$AK$11)+IF(3=Assumptions!$B$15,('Per-Center'!$AJ$11/Assumptions!$B$16-('Per-Center'!$AO$11*(1+Assumptions!$B$23)^Assumptions!$B$15-'Per-Center'!$AK$11*((1+Assumptions!$B$23)^Assumptions!$B$15-1)/Assumptions!$B$23)),0))</f>
        <v/>
      </c>
      <c r="G11" s="57">
        <f>IF(4&gt;Assumptions!$B$15,0,(1*'Per-Center'!$AC$11-('Per-Center'!$AD$11+'Per-Center'!$AE$11+'Per-Center'!$AF$11)+('Per-Center'!$AG$11+'Per-Center'!$AH$11+'Per-Center'!$AI$11+Assumptions!$B$29)-'Per-Center'!$AK$11)+IF(4=Assumptions!$B$15,('Per-Center'!$AJ$11/Assumptions!$B$16-('Per-Center'!$AO$11*(1+Assumptions!$B$23)^Assumptions!$B$15-'Per-Center'!$AK$11*((1+Assumptions!$B$23)^Assumptions!$B$15-1)/Assumptions!$B$23)),0))</f>
        <v/>
      </c>
      <c r="H11" s="57">
        <f>IF(5&gt;Assumptions!$B$15,0,(1*'Per-Center'!$AC$11-('Per-Center'!$AD$11+'Per-Center'!$AE$11+'Per-Center'!$AF$11)+('Per-Center'!$AG$11+'Per-Center'!$AH$11+'Per-Center'!$AI$11+Assumptions!$B$29)-'Per-Center'!$AK$11)+IF(5=Assumptions!$B$15,('Per-Center'!$AJ$11/Assumptions!$B$16-('Per-Center'!$AO$11*(1+Assumptions!$B$23)^Assumptions!$B$15-'Per-Center'!$AK$11*((1+Assumptions!$B$23)^Assumptions!$B$15-1)/Assumptions!$B$23)),0))</f>
        <v/>
      </c>
      <c r="I11" s="57">
        <f>IF(6&gt;Assumptions!$B$15,0,(1*'Per-Center'!$AC$11-('Per-Center'!$AD$11+'Per-Center'!$AE$11+'Per-Center'!$AF$11)+('Per-Center'!$AG$11+'Per-Center'!$AH$11+'Per-Center'!$AI$11+Assumptions!$B$29)-'Per-Center'!$AK$11)+IF(6=Assumptions!$B$15,('Per-Center'!$AJ$11/Assumptions!$B$16-('Per-Center'!$AO$11*(1+Assumptions!$B$23)^Assumptions!$B$15-'Per-Center'!$AK$11*((1+Assumptions!$B$23)^Assumptions!$B$15-1)/Assumptions!$B$23)),0))</f>
        <v/>
      </c>
      <c r="J11" s="57">
        <f>IF(7&gt;Assumptions!$B$15,0,(1*'Per-Center'!$AC$11-('Per-Center'!$AD$11+'Per-Center'!$AE$11+'Per-Center'!$AF$11)+('Per-Center'!$AG$11+'Per-Center'!$AH$11+'Per-Center'!$AI$11+Assumptions!$B$29)-'Per-Center'!$AK$11)+IF(7=Assumptions!$B$15,('Per-Center'!$AJ$11/Assumptions!$B$16-('Per-Center'!$AO$11*(1+Assumptions!$B$23)^Assumptions!$B$15-'Per-Center'!$AK$11*((1+Assumptions!$B$23)^Assumptions!$B$15-1)/Assumptions!$B$23)),0))</f>
        <v/>
      </c>
      <c r="K11" s="86">
        <f>IF(8&gt;Assumptions!$B$15,0,(1*'Per-Center'!$AC$11-('Per-Center'!$AD$11+'Per-Center'!$AE$11+'Per-Center'!$AF$11)+('Per-Center'!$AG$11+'Per-Center'!$AH$11+'Per-Center'!$AI$11+Assumptions!$B$29)-'Per-Center'!$AK$11)+IF(8=Assumptions!$B$15,('Per-Center'!$AJ$11/Assumptions!$B$16-('Per-Center'!$AO$11*(1+Assumptions!$B$23)^Assumptions!$B$15-'Per-Center'!$AK$11*((1+Assumptions!$B$23)^Assumptions!$B$15-1)/Assumptions!$B$23)),0))</f>
        <v/>
      </c>
      <c r="L11" s="86">
        <f>IF(9&gt;Assumptions!$B$15,0,(1*'Per-Center'!$AC$11-('Per-Center'!$AD$11+'Per-Center'!$AE$11+'Per-Center'!$AF$11)+('Per-Center'!$AG$11+'Per-Center'!$AH$11+'Per-Center'!$AI$11+Assumptions!$B$29)-'Per-Center'!$AK$11)+IF(9=Assumptions!$B$15,('Per-Center'!$AJ$11/Assumptions!$B$16-('Per-Center'!$AO$11*(1+Assumptions!$B$23)^Assumptions!$B$15-'Per-Center'!$AK$11*((1+Assumptions!$B$23)^Assumptions!$B$15-1)/Assumptions!$B$23)),0))</f>
        <v/>
      </c>
      <c r="M11" s="86">
        <f>IF(10&gt;Assumptions!$B$15,0,(1*'Per-Center'!$AC$11-('Per-Center'!$AD$11+'Per-Center'!$AE$11+'Per-Center'!$AF$11)+('Per-Center'!$AG$11+'Per-Center'!$AH$11+'Per-Center'!$AI$11+Assumptions!$B$29)-'Per-Center'!$AK$11)+IF(10=Assumptions!$B$15,('Per-Center'!$AJ$11/Assumptions!$B$16-('Per-Center'!$AO$11*(1+Assumptions!$B$23)^Assumptions!$B$15-'Per-Center'!$AK$11*((1+Assumptions!$B$23)^Assumptions!$B$15-1)/Assumptions!$B$23)),0))</f>
        <v/>
      </c>
      <c r="N11" s="66">
        <f>IFERROR(IRR(D11:M11,0.1),-0.99)</f>
        <v/>
      </c>
      <c r="O11" s="63">
        <f>IF((0.5*'Per-Center'!$AC$11-('Per-Center'!$AD$11+'Per-Center'!$AE$11+'Per-Center'!$AF$11)+('Per-Center'!$AG$11+'Per-Center'!$AH$11+'Per-Center'!$AI$11+Assumptions!$B$29))&gt;='Per-Center'!$AK$11,1,IF((0.75*'Per-Center'!$AC$11-('Per-Center'!$AD$11+'Per-Center'!$AE$11+'Per-Center'!$AF$11)+('Per-Center'!$AG$11+'Per-Center'!$AH$11+'Per-Center'!$AI$11+Assumptions!$B$29))&gt;='Per-Center'!$AK$11,2,IF(('Per-Center'!$AC$11-('Per-Center'!$AD$11+'Per-Center'!$AE$11+'Per-Center'!$AF$11)+('Per-Center'!$AG$11+'Per-Center'!$AH$11+'Per-Center'!$AI$11+Assumptions!$B$29))&gt;='Per-Center'!$AK$11,3,"&gt;"&amp;Assumptions!$B$15)))</f>
        <v/>
      </c>
      <c r="P11" s="57">
        <f>'Per-Center'!$AJ$11/Assumptions!$B$16</f>
        <v/>
      </c>
    </row>
    <row r="12" ht="15" customHeight="1" s="41">
      <c r="A12" s="46" t="inlineStr">
        <is>
          <t>San Marcos</t>
        </is>
      </c>
      <c r="B12" s="46" t="inlineStr">
        <is>
          <t>Regional</t>
        </is>
      </c>
      <c r="C12" s="57">
        <f>'Per-Center'!$AP$12</f>
        <v/>
      </c>
      <c r="D12" s="57">
        <f>IF(1&gt;Assumptions!$B$15,0,(0.5*'Per-Center'!$AC$12-('Per-Center'!$AD$12+'Per-Center'!$AE$12+'Per-Center'!$AF$12)+('Per-Center'!$AG$12+'Per-Center'!$AH$12+'Per-Center'!$AI$12+Assumptions!$B$29)-'Per-Center'!$AK$12)-'Per-Center'!$AP$12+IF(1=Assumptions!$B$15,('Per-Center'!$AJ$12/Assumptions!$B$16-('Per-Center'!$AO$12*(1+Assumptions!$B$23)^Assumptions!$B$15-'Per-Center'!$AK$12*((1+Assumptions!$B$23)^Assumptions!$B$15-1)/Assumptions!$B$23)),0))</f>
        <v/>
      </c>
      <c r="E12" s="57">
        <f>IF(2&gt;Assumptions!$B$15,0,(0.75*'Per-Center'!$AC$12-('Per-Center'!$AD$12+'Per-Center'!$AE$12+'Per-Center'!$AF$12)+('Per-Center'!$AG$12+'Per-Center'!$AH$12+'Per-Center'!$AI$12+Assumptions!$B$29)-'Per-Center'!$AK$12)+IF(2=Assumptions!$B$15,('Per-Center'!$AJ$12/Assumptions!$B$16-('Per-Center'!$AO$12*(1+Assumptions!$B$23)^Assumptions!$B$15-'Per-Center'!$AK$12*((1+Assumptions!$B$23)^Assumptions!$B$15-1)/Assumptions!$B$23)),0))</f>
        <v/>
      </c>
      <c r="F12" s="57">
        <f>IF(3&gt;Assumptions!$B$15,0,(1*'Per-Center'!$AC$12-('Per-Center'!$AD$12+'Per-Center'!$AE$12+'Per-Center'!$AF$12)+('Per-Center'!$AG$12+'Per-Center'!$AH$12+'Per-Center'!$AI$12+Assumptions!$B$29)-'Per-Center'!$AK$12)+IF(3=Assumptions!$B$15,('Per-Center'!$AJ$12/Assumptions!$B$16-('Per-Center'!$AO$12*(1+Assumptions!$B$23)^Assumptions!$B$15-'Per-Center'!$AK$12*((1+Assumptions!$B$23)^Assumptions!$B$15-1)/Assumptions!$B$23)),0))</f>
        <v/>
      </c>
      <c r="G12" s="57">
        <f>IF(4&gt;Assumptions!$B$15,0,(1*'Per-Center'!$AC$12-('Per-Center'!$AD$12+'Per-Center'!$AE$12+'Per-Center'!$AF$12)+('Per-Center'!$AG$12+'Per-Center'!$AH$12+'Per-Center'!$AI$12+Assumptions!$B$29)-'Per-Center'!$AK$12)+IF(4=Assumptions!$B$15,('Per-Center'!$AJ$12/Assumptions!$B$16-('Per-Center'!$AO$12*(1+Assumptions!$B$23)^Assumptions!$B$15-'Per-Center'!$AK$12*((1+Assumptions!$B$23)^Assumptions!$B$15-1)/Assumptions!$B$23)),0))</f>
        <v/>
      </c>
      <c r="H12" s="57">
        <f>IF(5&gt;Assumptions!$B$15,0,(1*'Per-Center'!$AC$12-('Per-Center'!$AD$12+'Per-Center'!$AE$12+'Per-Center'!$AF$12)+('Per-Center'!$AG$12+'Per-Center'!$AH$12+'Per-Center'!$AI$12+Assumptions!$B$29)-'Per-Center'!$AK$12)+IF(5=Assumptions!$B$15,('Per-Center'!$AJ$12/Assumptions!$B$16-('Per-Center'!$AO$12*(1+Assumptions!$B$23)^Assumptions!$B$15-'Per-Center'!$AK$12*((1+Assumptions!$B$23)^Assumptions!$B$15-1)/Assumptions!$B$23)),0))</f>
        <v/>
      </c>
      <c r="I12" s="57">
        <f>IF(6&gt;Assumptions!$B$15,0,(1*'Per-Center'!$AC$12-('Per-Center'!$AD$12+'Per-Center'!$AE$12+'Per-Center'!$AF$12)+('Per-Center'!$AG$12+'Per-Center'!$AH$12+'Per-Center'!$AI$12+Assumptions!$B$29)-'Per-Center'!$AK$12)+IF(6=Assumptions!$B$15,('Per-Center'!$AJ$12/Assumptions!$B$16-('Per-Center'!$AO$12*(1+Assumptions!$B$23)^Assumptions!$B$15-'Per-Center'!$AK$12*((1+Assumptions!$B$23)^Assumptions!$B$15-1)/Assumptions!$B$23)),0))</f>
        <v/>
      </c>
      <c r="J12" s="57">
        <f>IF(7&gt;Assumptions!$B$15,0,(1*'Per-Center'!$AC$12-('Per-Center'!$AD$12+'Per-Center'!$AE$12+'Per-Center'!$AF$12)+('Per-Center'!$AG$12+'Per-Center'!$AH$12+'Per-Center'!$AI$12+Assumptions!$B$29)-'Per-Center'!$AK$12)+IF(7=Assumptions!$B$15,('Per-Center'!$AJ$12/Assumptions!$B$16-('Per-Center'!$AO$12*(1+Assumptions!$B$23)^Assumptions!$B$15-'Per-Center'!$AK$12*((1+Assumptions!$B$23)^Assumptions!$B$15-1)/Assumptions!$B$23)),0))</f>
        <v/>
      </c>
      <c r="K12" s="86">
        <f>IF(8&gt;Assumptions!$B$15,0,(1*'Per-Center'!$AC$12-('Per-Center'!$AD$12+'Per-Center'!$AE$12+'Per-Center'!$AF$12)+('Per-Center'!$AG$12+'Per-Center'!$AH$12+'Per-Center'!$AI$12+Assumptions!$B$29)-'Per-Center'!$AK$12)+IF(8=Assumptions!$B$15,('Per-Center'!$AJ$12/Assumptions!$B$16-('Per-Center'!$AO$12*(1+Assumptions!$B$23)^Assumptions!$B$15-'Per-Center'!$AK$12*((1+Assumptions!$B$23)^Assumptions!$B$15-1)/Assumptions!$B$23)),0))</f>
        <v/>
      </c>
      <c r="L12" s="86">
        <f>IF(9&gt;Assumptions!$B$15,0,(1*'Per-Center'!$AC$12-('Per-Center'!$AD$12+'Per-Center'!$AE$12+'Per-Center'!$AF$12)+('Per-Center'!$AG$12+'Per-Center'!$AH$12+'Per-Center'!$AI$12+Assumptions!$B$29)-'Per-Center'!$AK$12)+IF(9=Assumptions!$B$15,('Per-Center'!$AJ$12/Assumptions!$B$16-('Per-Center'!$AO$12*(1+Assumptions!$B$23)^Assumptions!$B$15-'Per-Center'!$AK$12*((1+Assumptions!$B$23)^Assumptions!$B$15-1)/Assumptions!$B$23)),0))</f>
        <v/>
      </c>
      <c r="M12" s="86">
        <f>IF(10&gt;Assumptions!$B$15,0,(1*'Per-Center'!$AC$12-('Per-Center'!$AD$12+'Per-Center'!$AE$12+'Per-Center'!$AF$12)+('Per-Center'!$AG$12+'Per-Center'!$AH$12+'Per-Center'!$AI$12+Assumptions!$B$29)-'Per-Center'!$AK$12)+IF(10=Assumptions!$B$15,('Per-Center'!$AJ$12/Assumptions!$B$16-('Per-Center'!$AO$12*(1+Assumptions!$B$23)^Assumptions!$B$15-'Per-Center'!$AK$12*((1+Assumptions!$B$23)^Assumptions!$B$15-1)/Assumptions!$B$23)),0))</f>
        <v/>
      </c>
      <c r="N12" s="66">
        <f>IFERROR(IRR(D12:M12,0.1),-0.99)</f>
        <v/>
      </c>
      <c r="O12" s="63">
        <f>IF((0.5*'Per-Center'!$AC$12-('Per-Center'!$AD$12+'Per-Center'!$AE$12+'Per-Center'!$AF$12)+('Per-Center'!$AG$12+'Per-Center'!$AH$12+'Per-Center'!$AI$12+Assumptions!$B$29))&gt;='Per-Center'!$AK$12,1,IF((0.75*'Per-Center'!$AC$12-('Per-Center'!$AD$12+'Per-Center'!$AE$12+'Per-Center'!$AF$12)+('Per-Center'!$AG$12+'Per-Center'!$AH$12+'Per-Center'!$AI$12+Assumptions!$B$29))&gt;='Per-Center'!$AK$12,2,IF(('Per-Center'!$AC$12-('Per-Center'!$AD$12+'Per-Center'!$AE$12+'Per-Center'!$AF$12)+('Per-Center'!$AG$12+'Per-Center'!$AH$12+'Per-Center'!$AI$12+Assumptions!$B$29))&gt;='Per-Center'!$AK$12,3,"&gt;"&amp;Assumptions!$B$15)))</f>
        <v/>
      </c>
      <c r="P12" s="57">
        <f>'Per-Center'!$AJ$12/Assumptions!$B$16</f>
        <v/>
      </c>
    </row>
    <row r="13" ht="15" customHeight="1" s="41">
      <c r="A13" s="46" t="inlineStr">
        <is>
          <t>Kyle</t>
        </is>
      </c>
      <c r="B13" s="46" t="inlineStr">
        <is>
          <t>Regional</t>
        </is>
      </c>
      <c r="C13" s="57">
        <f>'Per-Center'!$AP$13</f>
        <v/>
      </c>
      <c r="D13" s="57">
        <f>IF(1&gt;Assumptions!$B$15,0,(0.5*'Per-Center'!$AC$13-('Per-Center'!$AD$13+'Per-Center'!$AE$13+'Per-Center'!$AF$13)+('Per-Center'!$AG$13+'Per-Center'!$AH$13+'Per-Center'!$AI$13+Assumptions!$B$29)-'Per-Center'!$AK$13)-'Per-Center'!$AP$13+IF(1=Assumptions!$B$15,('Per-Center'!$AJ$13/Assumptions!$B$16-('Per-Center'!$AO$13*(1+Assumptions!$B$23)^Assumptions!$B$15-'Per-Center'!$AK$13*((1+Assumptions!$B$23)^Assumptions!$B$15-1)/Assumptions!$B$23)),0))</f>
        <v/>
      </c>
      <c r="E13" s="57">
        <f>IF(2&gt;Assumptions!$B$15,0,(0.75*'Per-Center'!$AC$13-('Per-Center'!$AD$13+'Per-Center'!$AE$13+'Per-Center'!$AF$13)+('Per-Center'!$AG$13+'Per-Center'!$AH$13+'Per-Center'!$AI$13+Assumptions!$B$29)-'Per-Center'!$AK$13)+IF(2=Assumptions!$B$15,('Per-Center'!$AJ$13/Assumptions!$B$16-('Per-Center'!$AO$13*(1+Assumptions!$B$23)^Assumptions!$B$15-'Per-Center'!$AK$13*((1+Assumptions!$B$23)^Assumptions!$B$15-1)/Assumptions!$B$23)),0))</f>
        <v/>
      </c>
      <c r="F13" s="57">
        <f>IF(3&gt;Assumptions!$B$15,0,(1*'Per-Center'!$AC$13-('Per-Center'!$AD$13+'Per-Center'!$AE$13+'Per-Center'!$AF$13)+('Per-Center'!$AG$13+'Per-Center'!$AH$13+'Per-Center'!$AI$13+Assumptions!$B$29)-'Per-Center'!$AK$13)+IF(3=Assumptions!$B$15,('Per-Center'!$AJ$13/Assumptions!$B$16-('Per-Center'!$AO$13*(1+Assumptions!$B$23)^Assumptions!$B$15-'Per-Center'!$AK$13*((1+Assumptions!$B$23)^Assumptions!$B$15-1)/Assumptions!$B$23)),0))</f>
        <v/>
      </c>
      <c r="G13" s="57">
        <f>IF(4&gt;Assumptions!$B$15,0,(1*'Per-Center'!$AC$13-('Per-Center'!$AD$13+'Per-Center'!$AE$13+'Per-Center'!$AF$13)+('Per-Center'!$AG$13+'Per-Center'!$AH$13+'Per-Center'!$AI$13+Assumptions!$B$29)-'Per-Center'!$AK$13)+IF(4=Assumptions!$B$15,('Per-Center'!$AJ$13/Assumptions!$B$16-('Per-Center'!$AO$13*(1+Assumptions!$B$23)^Assumptions!$B$15-'Per-Center'!$AK$13*((1+Assumptions!$B$23)^Assumptions!$B$15-1)/Assumptions!$B$23)),0))</f>
        <v/>
      </c>
      <c r="H13" s="57">
        <f>IF(5&gt;Assumptions!$B$15,0,(1*'Per-Center'!$AC$13-('Per-Center'!$AD$13+'Per-Center'!$AE$13+'Per-Center'!$AF$13)+('Per-Center'!$AG$13+'Per-Center'!$AH$13+'Per-Center'!$AI$13+Assumptions!$B$29)-'Per-Center'!$AK$13)+IF(5=Assumptions!$B$15,('Per-Center'!$AJ$13/Assumptions!$B$16-('Per-Center'!$AO$13*(1+Assumptions!$B$23)^Assumptions!$B$15-'Per-Center'!$AK$13*((1+Assumptions!$B$23)^Assumptions!$B$15-1)/Assumptions!$B$23)),0))</f>
        <v/>
      </c>
      <c r="I13" s="57">
        <f>IF(6&gt;Assumptions!$B$15,0,(1*'Per-Center'!$AC$13-('Per-Center'!$AD$13+'Per-Center'!$AE$13+'Per-Center'!$AF$13)+('Per-Center'!$AG$13+'Per-Center'!$AH$13+'Per-Center'!$AI$13+Assumptions!$B$29)-'Per-Center'!$AK$13)+IF(6=Assumptions!$B$15,('Per-Center'!$AJ$13/Assumptions!$B$16-('Per-Center'!$AO$13*(1+Assumptions!$B$23)^Assumptions!$B$15-'Per-Center'!$AK$13*((1+Assumptions!$B$23)^Assumptions!$B$15-1)/Assumptions!$B$23)),0))</f>
        <v/>
      </c>
      <c r="J13" s="57">
        <f>IF(7&gt;Assumptions!$B$15,0,(1*'Per-Center'!$AC$13-('Per-Center'!$AD$13+'Per-Center'!$AE$13+'Per-Center'!$AF$13)+('Per-Center'!$AG$13+'Per-Center'!$AH$13+'Per-Center'!$AI$13+Assumptions!$B$29)-'Per-Center'!$AK$13)+IF(7=Assumptions!$B$15,('Per-Center'!$AJ$13/Assumptions!$B$16-('Per-Center'!$AO$13*(1+Assumptions!$B$23)^Assumptions!$B$15-'Per-Center'!$AK$13*((1+Assumptions!$B$23)^Assumptions!$B$15-1)/Assumptions!$B$23)),0))</f>
        <v/>
      </c>
      <c r="K13" s="86">
        <f>IF(8&gt;Assumptions!$B$15,0,(1*'Per-Center'!$AC$13-('Per-Center'!$AD$13+'Per-Center'!$AE$13+'Per-Center'!$AF$13)+('Per-Center'!$AG$13+'Per-Center'!$AH$13+'Per-Center'!$AI$13+Assumptions!$B$29)-'Per-Center'!$AK$13)+IF(8=Assumptions!$B$15,('Per-Center'!$AJ$13/Assumptions!$B$16-('Per-Center'!$AO$13*(1+Assumptions!$B$23)^Assumptions!$B$15-'Per-Center'!$AK$13*((1+Assumptions!$B$23)^Assumptions!$B$15-1)/Assumptions!$B$23)),0))</f>
        <v/>
      </c>
      <c r="L13" s="86">
        <f>IF(9&gt;Assumptions!$B$15,0,(1*'Per-Center'!$AC$13-('Per-Center'!$AD$13+'Per-Center'!$AE$13+'Per-Center'!$AF$13)+('Per-Center'!$AG$13+'Per-Center'!$AH$13+'Per-Center'!$AI$13+Assumptions!$B$29)-'Per-Center'!$AK$13)+IF(9=Assumptions!$B$15,('Per-Center'!$AJ$13/Assumptions!$B$16-('Per-Center'!$AO$13*(1+Assumptions!$B$23)^Assumptions!$B$15-'Per-Center'!$AK$13*((1+Assumptions!$B$23)^Assumptions!$B$15-1)/Assumptions!$B$23)),0))</f>
        <v/>
      </c>
      <c r="M13" s="86">
        <f>IF(10&gt;Assumptions!$B$15,0,(1*'Per-Center'!$AC$13-('Per-Center'!$AD$13+'Per-Center'!$AE$13+'Per-Center'!$AF$13)+('Per-Center'!$AG$13+'Per-Center'!$AH$13+'Per-Center'!$AI$13+Assumptions!$B$29)-'Per-Center'!$AK$13)+IF(10=Assumptions!$B$15,('Per-Center'!$AJ$13/Assumptions!$B$16-('Per-Center'!$AO$13*(1+Assumptions!$B$23)^Assumptions!$B$15-'Per-Center'!$AK$13*((1+Assumptions!$B$23)^Assumptions!$B$15-1)/Assumptions!$B$23)),0))</f>
        <v/>
      </c>
      <c r="N13" s="66">
        <f>IFERROR(IRR(D13:M13,0.1),-0.99)</f>
        <v/>
      </c>
      <c r="O13" s="63">
        <f>IF((0.5*'Per-Center'!$AC$13-('Per-Center'!$AD$13+'Per-Center'!$AE$13+'Per-Center'!$AF$13)+('Per-Center'!$AG$13+'Per-Center'!$AH$13+'Per-Center'!$AI$13+Assumptions!$B$29))&gt;='Per-Center'!$AK$13,1,IF((0.75*'Per-Center'!$AC$13-('Per-Center'!$AD$13+'Per-Center'!$AE$13+'Per-Center'!$AF$13)+('Per-Center'!$AG$13+'Per-Center'!$AH$13+'Per-Center'!$AI$13+Assumptions!$B$29))&gt;='Per-Center'!$AK$13,2,IF(('Per-Center'!$AC$13-('Per-Center'!$AD$13+'Per-Center'!$AE$13+'Per-Center'!$AF$13)+('Per-Center'!$AG$13+'Per-Center'!$AH$13+'Per-Center'!$AI$13+Assumptions!$B$29))&gt;='Per-Center'!$AK$13,3,"&gt;"&amp;Assumptions!$B$15)))</f>
        <v/>
      </c>
      <c r="P13" s="57">
        <f>'Per-Center'!$AJ$13/Assumptions!$B$16</f>
        <v/>
      </c>
    </row>
    <row r="14" ht="15" customHeight="1" s="41">
      <c r="A14" s="46" t="inlineStr">
        <is>
          <t>Seguin</t>
        </is>
      </c>
      <c r="B14" s="46" t="inlineStr">
        <is>
          <t>Regional</t>
        </is>
      </c>
      <c r="C14" s="57">
        <f>'Per-Center'!$AP$14</f>
        <v/>
      </c>
      <c r="D14" s="57">
        <f>IF(1&gt;Assumptions!$B$15,0,(0.5*'Per-Center'!$AC$14-('Per-Center'!$AD$14+'Per-Center'!$AE$14+'Per-Center'!$AF$14)+('Per-Center'!$AG$14+'Per-Center'!$AH$14+'Per-Center'!$AI$14+Assumptions!$B$29)-'Per-Center'!$AK$14)-'Per-Center'!$AP$14+IF(1=Assumptions!$B$15,('Per-Center'!$AJ$14/Assumptions!$B$16-('Per-Center'!$AO$14*(1+Assumptions!$B$23)^Assumptions!$B$15-'Per-Center'!$AK$14*((1+Assumptions!$B$23)^Assumptions!$B$15-1)/Assumptions!$B$23)),0))</f>
        <v/>
      </c>
      <c r="E14" s="57">
        <f>IF(2&gt;Assumptions!$B$15,0,(0.75*'Per-Center'!$AC$14-('Per-Center'!$AD$14+'Per-Center'!$AE$14+'Per-Center'!$AF$14)+('Per-Center'!$AG$14+'Per-Center'!$AH$14+'Per-Center'!$AI$14+Assumptions!$B$29)-'Per-Center'!$AK$14)+IF(2=Assumptions!$B$15,('Per-Center'!$AJ$14/Assumptions!$B$16-('Per-Center'!$AO$14*(1+Assumptions!$B$23)^Assumptions!$B$15-'Per-Center'!$AK$14*((1+Assumptions!$B$23)^Assumptions!$B$15-1)/Assumptions!$B$23)),0))</f>
        <v/>
      </c>
      <c r="F14" s="57">
        <f>IF(3&gt;Assumptions!$B$15,0,(1*'Per-Center'!$AC$14-('Per-Center'!$AD$14+'Per-Center'!$AE$14+'Per-Center'!$AF$14)+('Per-Center'!$AG$14+'Per-Center'!$AH$14+'Per-Center'!$AI$14+Assumptions!$B$29)-'Per-Center'!$AK$14)+IF(3=Assumptions!$B$15,('Per-Center'!$AJ$14/Assumptions!$B$16-('Per-Center'!$AO$14*(1+Assumptions!$B$23)^Assumptions!$B$15-'Per-Center'!$AK$14*((1+Assumptions!$B$23)^Assumptions!$B$15-1)/Assumptions!$B$23)),0))</f>
        <v/>
      </c>
      <c r="G14" s="57">
        <f>IF(4&gt;Assumptions!$B$15,0,(1*'Per-Center'!$AC$14-('Per-Center'!$AD$14+'Per-Center'!$AE$14+'Per-Center'!$AF$14)+('Per-Center'!$AG$14+'Per-Center'!$AH$14+'Per-Center'!$AI$14+Assumptions!$B$29)-'Per-Center'!$AK$14)+IF(4=Assumptions!$B$15,('Per-Center'!$AJ$14/Assumptions!$B$16-('Per-Center'!$AO$14*(1+Assumptions!$B$23)^Assumptions!$B$15-'Per-Center'!$AK$14*((1+Assumptions!$B$23)^Assumptions!$B$15-1)/Assumptions!$B$23)),0))</f>
        <v/>
      </c>
      <c r="H14" s="57">
        <f>IF(5&gt;Assumptions!$B$15,0,(1*'Per-Center'!$AC$14-('Per-Center'!$AD$14+'Per-Center'!$AE$14+'Per-Center'!$AF$14)+('Per-Center'!$AG$14+'Per-Center'!$AH$14+'Per-Center'!$AI$14+Assumptions!$B$29)-'Per-Center'!$AK$14)+IF(5=Assumptions!$B$15,('Per-Center'!$AJ$14/Assumptions!$B$16-('Per-Center'!$AO$14*(1+Assumptions!$B$23)^Assumptions!$B$15-'Per-Center'!$AK$14*((1+Assumptions!$B$23)^Assumptions!$B$15-1)/Assumptions!$B$23)),0))</f>
        <v/>
      </c>
      <c r="I14" s="57">
        <f>IF(6&gt;Assumptions!$B$15,0,(1*'Per-Center'!$AC$14-('Per-Center'!$AD$14+'Per-Center'!$AE$14+'Per-Center'!$AF$14)+('Per-Center'!$AG$14+'Per-Center'!$AH$14+'Per-Center'!$AI$14+Assumptions!$B$29)-'Per-Center'!$AK$14)+IF(6=Assumptions!$B$15,('Per-Center'!$AJ$14/Assumptions!$B$16-('Per-Center'!$AO$14*(1+Assumptions!$B$23)^Assumptions!$B$15-'Per-Center'!$AK$14*((1+Assumptions!$B$23)^Assumptions!$B$15-1)/Assumptions!$B$23)),0))</f>
        <v/>
      </c>
      <c r="J14" s="57">
        <f>IF(7&gt;Assumptions!$B$15,0,(1*'Per-Center'!$AC$14-('Per-Center'!$AD$14+'Per-Center'!$AE$14+'Per-Center'!$AF$14)+('Per-Center'!$AG$14+'Per-Center'!$AH$14+'Per-Center'!$AI$14+Assumptions!$B$29)-'Per-Center'!$AK$14)+IF(7=Assumptions!$B$15,('Per-Center'!$AJ$14/Assumptions!$B$16-('Per-Center'!$AO$14*(1+Assumptions!$B$23)^Assumptions!$B$15-'Per-Center'!$AK$14*((1+Assumptions!$B$23)^Assumptions!$B$15-1)/Assumptions!$B$23)),0))</f>
        <v/>
      </c>
      <c r="K14" s="86">
        <f>IF(8&gt;Assumptions!$B$15,0,(1*'Per-Center'!$AC$14-('Per-Center'!$AD$14+'Per-Center'!$AE$14+'Per-Center'!$AF$14)+('Per-Center'!$AG$14+'Per-Center'!$AH$14+'Per-Center'!$AI$14+Assumptions!$B$29)-'Per-Center'!$AK$14)+IF(8=Assumptions!$B$15,('Per-Center'!$AJ$14/Assumptions!$B$16-('Per-Center'!$AO$14*(1+Assumptions!$B$23)^Assumptions!$B$15-'Per-Center'!$AK$14*((1+Assumptions!$B$23)^Assumptions!$B$15-1)/Assumptions!$B$23)),0))</f>
        <v/>
      </c>
      <c r="L14" s="86">
        <f>IF(9&gt;Assumptions!$B$15,0,(1*'Per-Center'!$AC$14-('Per-Center'!$AD$14+'Per-Center'!$AE$14+'Per-Center'!$AF$14)+('Per-Center'!$AG$14+'Per-Center'!$AH$14+'Per-Center'!$AI$14+Assumptions!$B$29)-'Per-Center'!$AK$14)+IF(9=Assumptions!$B$15,('Per-Center'!$AJ$14/Assumptions!$B$16-('Per-Center'!$AO$14*(1+Assumptions!$B$23)^Assumptions!$B$15-'Per-Center'!$AK$14*((1+Assumptions!$B$23)^Assumptions!$B$15-1)/Assumptions!$B$23)),0))</f>
        <v/>
      </c>
      <c r="M14" s="86">
        <f>IF(10&gt;Assumptions!$B$15,0,(1*'Per-Center'!$AC$14-('Per-Center'!$AD$14+'Per-Center'!$AE$14+'Per-Center'!$AF$14)+('Per-Center'!$AG$14+'Per-Center'!$AH$14+'Per-Center'!$AI$14+Assumptions!$B$29)-'Per-Center'!$AK$14)+IF(10=Assumptions!$B$15,('Per-Center'!$AJ$14/Assumptions!$B$16-('Per-Center'!$AO$14*(1+Assumptions!$B$23)^Assumptions!$B$15-'Per-Center'!$AK$14*((1+Assumptions!$B$23)^Assumptions!$B$15-1)/Assumptions!$B$23)),0))</f>
        <v/>
      </c>
      <c r="N14" s="66">
        <f>IFERROR(IRR(D14:M14,0.1),-0.99)</f>
        <v/>
      </c>
      <c r="O14" s="63">
        <f>IF((0.5*'Per-Center'!$AC$14-('Per-Center'!$AD$14+'Per-Center'!$AE$14+'Per-Center'!$AF$14)+('Per-Center'!$AG$14+'Per-Center'!$AH$14+'Per-Center'!$AI$14+Assumptions!$B$29))&gt;='Per-Center'!$AK$14,1,IF((0.75*'Per-Center'!$AC$14-('Per-Center'!$AD$14+'Per-Center'!$AE$14+'Per-Center'!$AF$14)+('Per-Center'!$AG$14+'Per-Center'!$AH$14+'Per-Center'!$AI$14+Assumptions!$B$29))&gt;='Per-Center'!$AK$14,2,IF(('Per-Center'!$AC$14-('Per-Center'!$AD$14+'Per-Center'!$AE$14+'Per-Center'!$AF$14)+('Per-Center'!$AG$14+'Per-Center'!$AH$14+'Per-Center'!$AI$14+Assumptions!$B$29))&gt;='Per-Center'!$AK$14,3,"&gt;"&amp;Assumptions!$B$15)))</f>
        <v/>
      </c>
      <c r="P14" s="57">
        <f>'Per-Center'!$AJ$14/Assumptions!$B$16</f>
        <v/>
      </c>
    </row>
    <row r="15" ht="15" customHeight="1" s="41">
      <c r="A15" s="46" t="inlineStr">
        <is>
          <t>Shady Hollow</t>
        </is>
      </c>
      <c r="B15" s="46" t="inlineStr">
        <is>
          <t>Regional</t>
        </is>
      </c>
      <c r="C15" s="57">
        <f>'Per-Center'!$AP$15</f>
        <v/>
      </c>
      <c r="D15" s="57">
        <f>IF(1&gt;Assumptions!$B$15,0,(0.5*'Per-Center'!$AC$15-('Per-Center'!$AD$15+'Per-Center'!$AE$15+'Per-Center'!$AF$15)+('Per-Center'!$AG$15+'Per-Center'!$AH$15+'Per-Center'!$AI$15+Assumptions!$B$29)-'Per-Center'!$AK$15)-'Per-Center'!$AP$15+IF(1=Assumptions!$B$15,('Per-Center'!$AJ$15/Assumptions!$B$16-('Per-Center'!$AO$15*(1+Assumptions!$B$23)^Assumptions!$B$15-'Per-Center'!$AK$15*((1+Assumptions!$B$23)^Assumptions!$B$15-1)/Assumptions!$B$23)),0))</f>
        <v/>
      </c>
      <c r="E15" s="57">
        <f>IF(2&gt;Assumptions!$B$15,0,(0.75*'Per-Center'!$AC$15-('Per-Center'!$AD$15+'Per-Center'!$AE$15+'Per-Center'!$AF$15)+('Per-Center'!$AG$15+'Per-Center'!$AH$15+'Per-Center'!$AI$15+Assumptions!$B$29)-'Per-Center'!$AK$15)+IF(2=Assumptions!$B$15,('Per-Center'!$AJ$15/Assumptions!$B$16-('Per-Center'!$AO$15*(1+Assumptions!$B$23)^Assumptions!$B$15-'Per-Center'!$AK$15*((1+Assumptions!$B$23)^Assumptions!$B$15-1)/Assumptions!$B$23)),0))</f>
        <v/>
      </c>
      <c r="F15" s="57">
        <f>IF(3&gt;Assumptions!$B$15,0,(1*'Per-Center'!$AC$15-('Per-Center'!$AD$15+'Per-Center'!$AE$15+'Per-Center'!$AF$15)+('Per-Center'!$AG$15+'Per-Center'!$AH$15+'Per-Center'!$AI$15+Assumptions!$B$29)-'Per-Center'!$AK$15)+IF(3=Assumptions!$B$15,('Per-Center'!$AJ$15/Assumptions!$B$16-('Per-Center'!$AO$15*(1+Assumptions!$B$23)^Assumptions!$B$15-'Per-Center'!$AK$15*((1+Assumptions!$B$23)^Assumptions!$B$15-1)/Assumptions!$B$23)),0))</f>
        <v/>
      </c>
      <c r="G15" s="57">
        <f>IF(4&gt;Assumptions!$B$15,0,(1*'Per-Center'!$AC$15-('Per-Center'!$AD$15+'Per-Center'!$AE$15+'Per-Center'!$AF$15)+('Per-Center'!$AG$15+'Per-Center'!$AH$15+'Per-Center'!$AI$15+Assumptions!$B$29)-'Per-Center'!$AK$15)+IF(4=Assumptions!$B$15,('Per-Center'!$AJ$15/Assumptions!$B$16-('Per-Center'!$AO$15*(1+Assumptions!$B$23)^Assumptions!$B$15-'Per-Center'!$AK$15*((1+Assumptions!$B$23)^Assumptions!$B$15-1)/Assumptions!$B$23)),0))</f>
        <v/>
      </c>
      <c r="H15" s="57">
        <f>IF(5&gt;Assumptions!$B$15,0,(1*'Per-Center'!$AC$15-('Per-Center'!$AD$15+'Per-Center'!$AE$15+'Per-Center'!$AF$15)+('Per-Center'!$AG$15+'Per-Center'!$AH$15+'Per-Center'!$AI$15+Assumptions!$B$29)-'Per-Center'!$AK$15)+IF(5=Assumptions!$B$15,('Per-Center'!$AJ$15/Assumptions!$B$16-('Per-Center'!$AO$15*(1+Assumptions!$B$23)^Assumptions!$B$15-'Per-Center'!$AK$15*((1+Assumptions!$B$23)^Assumptions!$B$15-1)/Assumptions!$B$23)),0))</f>
        <v/>
      </c>
      <c r="I15" s="57">
        <f>IF(6&gt;Assumptions!$B$15,0,(1*'Per-Center'!$AC$15-('Per-Center'!$AD$15+'Per-Center'!$AE$15+'Per-Center'!$AF$15)+('Per-Center'!$AG$15+'Per-Center'!$AH$15+'Per-Center'!$AI$15+Assumptions!$B$29)-'Per-Center'!$AK$15)+IF(6=Assumptions!$B$15,('Per-Center'!$AJ$15/Assumptions!$B$16-('Per-Center'!$AO$15*(1+Assumptions!$B$23)^Assumptions!$B$15-'Per-Center'!$AK$15*((1+Assumptions!$B$23)^Assumptions!$B$15-1)/Assumptions!$B$23)),0))</f>
        <v/>
      </c>
      <c r="J15" s="57">
        <f>IF(7&gt;Assumptions!$B$15,0,(1*'Per-Center'!$AC$15-('Per-Center'!$AD$15+'Per-Center'!$AE$15+'Per-Center'!$AF$15)+('Per-Center'!$AG$15+'Per-Center'!$AH$15+'Per-Center'!$AI$15+Assumptions!$B$29)-'Per-Center'!$AK$15)+IF(7=Assumptions!$B$15,('Per-Center'!$AJ$15/Assumptions!$B$16-('Per-Center'!$AO$15*(1+Assumptions!$B$23)^Assumptions!$B$15-'Per-Center'!$AK$15*((1+Assumptions!$B$23)^Assumptions!$B$15-1)/Assumptions!$B$23)),0))</f>
        <v/>
      </c>
      <c r="K15" s="86">
        <f>IF(8&gt;Assumptions!$B$15,0,(1*'Per-Center'!$AC$15-('Per-Center'!$AD$15+'Per-Center'!$AE$15+'Per-Center'!$AF$15)+('Per-Center'!$AG$15+'Per-Center'!$AH$15+'Per-Center'!$AI$15+Assumptions!$B$29)-'Per-Center'!$AK$15)+IF(8=Assumptions!$B$15,('Per-Center'!$AJ$15/Assumptions!$B$16-('Per-Center'!$AO$15*(1+Assumptions!$B$23)^Assumptions!$B$15-'Per-Center'!$AK$15*((1+Assumptions!$B$23)^Assumptions!$B$15-1)/Assumptions!$B$23)),0))</f>
        <v/>
      </c>
      <c r="L15" s="86">
        <f>IF(9&gt;Assumptions!$B$15,0,(1*'Per-Center'!$AC$15-('Per-Center'!$AD$15+'Per-Center'!$AE$15+'Per-Center'!$AF$15)+('Per-Center'!$AG$15+'Per-Center'!$AH$15+'Per-Center'!$AI$15+Assumptions!$B$29)-'Per-Center'!$AK$15)+IF(9=Assumptions!$B$15,('Per-Center'!$AJ$15/Assumptions!$B$16-('Per-Center'!$AO$15*(1+Assumptions!$B$23)^Assumptions!$B$15-'Per-Center'!$AK$15*((1+Assumptions!$B$23)^Assumptions!$B$15-1)/Assumptions!$B$23)),0))</f>
        <v/>
      </c>
      <c r="M15" s="86">
        <f>IF(10&gt;Assumptions!$B$15,0,(1*'Per-Center'!$AC$15-('Per-Center'!$AD$15+'Per-Center'!$AE$15+'Per-Center'!$AF$15)+('Per-Center'!$AG$15+'Per-Center'!$AH$15+'Per-Center'!$AI$15+Assumptions!$B$29)-'Per-Center'!$AK$15)+IF(10=Assumptions!$B$15,('Per-Center'!$AJ$15/Assumptions!$B$16-('Per-Center'!$AO$15*(1+Assumptions!$B$23)^Assumptions!$B$15-'Per-Center'!$AK$15*((1+Assumptions!$B$23)^Assumptions!$B$15-1)/Assumptions!$B$23)),0))</f>
        <v/>
      </c>
      <c r="N15" s="66">
        <f>IFERROR(IRR(D15:M15,0.1),-0.99)</f>
        <v/>
      </c>
      <c r="O15" s="63">
        <f>IF((0.5*'Per-Center'!$AC$15-('Per-Center'!$AD$15+'Per-Center'!$AE$15+'Per-Center'!$AF$15)+('Per-Center'!$AG$15+'Per-Center'!$AH$15+'Per-Center'!$AI$15+Assumptions!$B$29))&gt;='Per-Center'!$AK$15,1,IF((0.75*'Per-Center'!$AC$15-('Per-Center'!$AD$15+'Per-Center'!$AE$15+'Per-Center'!$AF$15)+('Per-Center'!$AG$15+'Per-Center'!$AH$15+'Per-Center'!$AI$15+Assumptions!$B$29))&gt;='Per-Center'!$AK$15,2,IF(('Per-Center'!$AC$15-('Per-Center'!$AD$15+'Per-Center'!$AE$15+'Per-Center'!$AF$15)+('Per-Center'!$AG$15+'Per-Center'!$AH$15+'Per-Center'!$AI$15+Assumptions!$B$29))&gt;='Per-Center'!$AK$15,3,"&gt;"&amp;Assumptions!$B$15)))</f>
        <v/>
      </c>
      <c r="P15" s="57">
        <f>'Per-Center'!$AJ$15/Assumptions!$B$16</f>
        <v/>
      </c>
    </row>
    <row r="16" ht="15" customHeight="1" s="41">
      <c r="A16" s="46" t="inlineStr">
        <is>
          <t>Taylor</t>
        </is>
      </c>
      <c r="B16" s="46" t="inlineStr">
        <is>
          <t>Edge</t>
        </is>
      </c>
      <c r="C16" s="57">
        <f>'Per-Center'!$AP$16</f>
        <v/>
      </c>
      <c r="D16" s="57">
        <f>IF(1&gt;Assumptions!$B$15,0,(0.5*'Per-Center'!$AC$16-('Per-Center'!$AD$16+'Per-Center'!$AE$16+'Per-Center'!$AF$16)+('Per-Center'!$AG$16+'Per-Center'!$AH$16+'Per-Center'!$AI$16+Assumptions!$B$29)-'Per-Center'!$AK$16)-'Per-Center'!$AP$16+IF(1=Assumptions!$B$15,('Per-Center'!$AJ$16/Assumptions!$B$16-('Per-Center'!$AO$16*(1+Assumptions!$B$23)^Assumptions!$B$15-'Per-Center'!$AK$16*((1+Assumptions!$B$23)^Assumptions!$B$15-1)/Assumptions!$B$23)),0))</f>
        <v/>
      </c>
      <c r="E16" s="57">
        <f>IF(2&gt;Assumptions!$B$15,0,(0.75*'Per-Center'!$AC$16-('Per-Center'!$AD$16+'Per-Center'!$AE$16+'Per-Center'!$AF$16)+('Per-Center'!$AG$16+'Per-Center'!$AH$16+'Per-Center'!$AI$16+Assumptions!$B$29)-'Per-Center'!$AK$16)+IF(2=Assumptions!$B$15,('Per-Center'!$AJ$16/Assumptions!$B$16-('Per-Center'!$AO$16*(1+Assumptions!$B$23)^Assumptions!$B$15-'Per-Center'!$AK$16*((1+Assumptions!$B$23)^Assumptions!$B$15-1)/Assumptions!$B$23)),0))</f>
        <v/>
      </c>
      <c r="F16" s="57">
        <f>IF(3&gt;Assumptions!$B$15,0,(1*'Per-Center'!$AC$16-('Per-Center'!$AD$16+'Per-Center'!$AE$16+'Per-Center'!$AF$16)+('Per-Center'!$AG$16+'Per-Center'!$AH$16+'Per-Center'!$AI$16+Assumptions!$B$29)-'Per-Center'!$AK$16)+IF(3=Assumptions!$B$15,('Per-Center'!$AJ$16/Assumptions!$B$16-('Per-Center'!$AO$16*(1+Assumptions!$B$23)^Assumptions!$B$15-'Per-Center'!$AK$16*((1+Assumptions!$B$23)^Assumptions!$B$15-1)/Assumptions!$B$23)),0))</f>
        <v/>
      </c>
      <c r="G16" s="57">
        <f>IF(4&gt;Assumptions!$B$15,0,(1*'Per-Center'!$AC$16-('Per-Center'!$AD$16+'Per-Center'!$AE$16+'Per-Center'!$AF$16)+('Per-Center'!$AG$16+'Per-Center'!$AH$16+'Per-Center'!$AI$16+Assumptions!$B$29)-'Per-Center'!$AK$16)+IF(4=Assumptions!$B$15,('Per-Center'!$AJ$16/Assumptions!$B$16-('Per-Center'!$AO$16*(1+Assumptions!$B$23)^Assumptions!$B$15-'Per-Center'!$AK$16*((1+Assumptions!$B$23)^Assumptions!$B$15-1)/Assumptions!$B$23)),0))</f>
        <v/>
      </c>
      <c r="H16" s="57">
        <f>IF(5&gt;Assumptions!$B$15,0,(1*'Per-Center'!$AC$16-('Per-Center'!$AD$16+'Per-Center'!$AE$16+'Per-Center'!$AF$16)+('Per-Center'!$AG$16+'Per-Center'!$AH$16+'Per-Center'!$AI$16+Assumptions!$B$29)-'Per-Center'!$AK$16)+IF(5=Assumptions!$B$15,('Per-Center'!$AJ$16/Assumptions!$B$16-('Per-Center'!$AO$16*(1+Assumptions!$B$23)^Assumptions!$B$15-'Per-Center'!$AK$16*((1+Assumptions!$B$23)^Assumptions!$B$15-1)/Assumptions!$B$23)),0))</f>
        <v/>
      </c>
      <c r="I16" s="57">
        <f>IF(6&gt;Assumptions!$B$15,0,(1*'Per-Center'!$AC$16-('Per-Center'!$AD$16+'Per-Center'!$AE$16+'Per-Center'!$AF$16)+('Per-Center'!$AG$16+'Per-Center'!$AH$16+'Per-Center'!$AI$16+Assumptions!$B$29)-'Per-Center'!$AK$16)+IF(6=Assumptions!$B$15,('Per-Center'!$AJ$16/Assumptions!$B$16-('Per-Center'!$AO$16*(1+Assumptions!$B$23)^Assumptions!$B$15-'Per-Center'!$AK$16*((1+Assumptions!$B$23)^Assumptions!$B$15-1)/Assumptions!$B$23)),0))</f>
        <v/>
      </c>
      <c r="J16" s="57">
        <f>IF(7&gt;Assumptions!$B$15,0,(1*'Per-Center'!$AC$16-('Per-Center'!$AD$16+'Per-Center'!$AE$16+'Per-Center'!$AF$16)+('Per-Center'!$AG$16+'Per-Center'!$AH$16+'Per-Center'!$AI$16+Assumptions!$B$29)-'Per-Center'!$AK$16)+IF(7=Assumptions!$B$15,('Per-Center'!$AJ$16/Assumptions!$B$16-('Per-Center'!$AO$16*(1+Assumptions!$B$23)^Assumptions!$B$15-'Per-Center'!$AK$16*((1+Assumptions!$B$23)^Assumptions!$B$15-1)/Assumptions!$B$23)),0))</f>
        <v/>
      </c>
      <c r="K16" s="86">
        <f>IF(8&gt;Assumptions!$B$15,0,(1*'Per-Center'!$AC$16-('Per-Center'!$AD$16+'Per-Center'!$AE$16+'Per-Center'!$AF$16)+('Per-Center'!$AG$16+'Per-Center'!$AH$16+'Per-Center'!$AI$16+Assumptions!$B$29)-'Per-Center'!$AK$16)+IF(8=Assumptions!$B$15,('Per-Center'!$AJ$16/Assumptions!$B$16-('Per-Center'!$AO$16*(1+Assumptions!$B$23)^Assumptions!$B$15-'Per-Center'!$AK$16*((1+Assumptions!$B$23)^Assumptions!$B$15-1)/Assumptions!$B$23)),0))</f>
        <v/>
      </c>
      <c r="L16" s="86">
        <f>IF(9&gt;Assumptions!$B$15,0,(1*'Per-Center'!$AC$16-('Per-Center'!$AD$16+'Per-Center'!$AE$16+'Per-Center'!$AF$16)+('Per-Center'!$AG$16+'Per-Center'!$AH$16+'Per-Center'!$AI$16+Assumptions!$B$29)-'Per-Center'!$AK$16)+IF(9=Assumptions!$B$15,('Per-Center'!$AJ$16/Assumptions!$B$16-('Per-Center'!$AO$16*(1+Assumptions!$B$23)^Assumptions!$B$15-'Per-Center'!$AK$16*((1+Assumptions!$B$23)^Assumptions!$B$15-1)/Assumptions!$B$23)),0))</f>
        <v/>
      </c>
      <c r="M16" s="86">
        <f>IF(10&gt;Assumptions!$B$15,0,(1*'Per-Center'!$AC$16-('Per-Center'!$AD$16+'Per-Center'!$AE$16+'Per-Center'!$AF$16)+('Per-Center'!$AG$16+'Per-Center'!$AH$16+'Per-Center'!$AI$16+Assumptions!$B$29)-'Per-Center'!$AK$16)+IF(10=Assumptions!$B$15,('Per-Center'!$AJ$16/Assumptions!$B$16-('Per-Center'!$AO$16*(1+Assumptions!$B$23)^Assumptions!$B$15-'Per-Center'!$AK$16*((1+Assumptions!$B$23)^Assumptions!$B$15-1)/Assumptions!$B$23)),0))</f>
        <v/>
      </c>
      <c r="N16" s="66">
        <f>IFERROR(IRR(D16:M16,0.1),-0.99)</f>
        <v/>
      </c>
      <c r="O16" s="63">
        <f>IF((0.5*'Per-Center'!$AC$16-('Per-Center'!$AD$16+'Per-Center'!$AE$16+'Per-Center'!$AF$16)+('Per-Center'!$AG$16+'Per-Center'!$AH$16+'Per-Center'!$AI$16+Assumptions!$B$29))&gt;='Per-Center'!$AK$16,1,IF((0.75*'Per-Center'!$AC$16-('Per-Center'!$AD$16+'Per-Center'!$AE$16+'Per-Center'!$AF$16)+('Per-Center'!$AG$16+'Per-Center'!$AH$16+'Per-Center'!$AI$16+Assumptions!$B$29))&gt;='Per-Center'!$AK$16,2,IF(('Per-Center'!$AC$16-('Per-Center'!$AD$16+'Per-Center'!$AE$16+'Per-Center'!$AF$16)+('Per-Center'!$AG$16+'Per-Center'!$AH$16+'Per-Center'!$AI$16+Assumptions!$B$29))&gt;='Per-Center'!$AK$16,3,"&gt;"&amp;Assumptions!$B$15)))</f>
        <v/>
      </c>
      <c r="P16" s="57">
        <f>'Per-Center'!$AJ$16/Assumptions!$B$16</f>
        <v/>
      </c>
    </row>
    <row r="17" ht="15" customHeight="1" s="41">
      <c r="A17" s="46" t="inlineStr">
        <is>
          <t>Buda</t>
        </is>
      </c>
      <c r="B17" s="46" t="inlineStr">
        <is>
          <t>Edge</t>
        </is>
      </c>
      <c r="C17" s="57">
        <f>'Per-Center'!$AP$17</f>
        <v/>
      </c>
      <c r="D17" s="57">
        <f>IF(1&gt;Assumptions!$B$15,0,(0.5*'Per-Center'!$AC$17-('Per-Center'!$AD$17+'Per-Center'!$AE$17+'Per-Center'!$AF$17)+('Per-Center'!$AG$17+'Per-Center'!$AH$17+'Per-Center'!$AI$17+Assumptions!$B$29)-'Per-Center'!$AK$17)-'Per-Center'!$AP$17+IF(1=Assumptions!$B$15,('Per-Center'!$AJ$17/Assumptions!$B$16-('Per-Center'!$AO$17*(1+Assumptions!$B$23)^Assumptions!$B$15-'Per-Center'!$AK$17*((1+Assumptions!$B$23)^Assumptions!$B$15-1)/Assumptions!$B$23)),0))</f>
        <v/>
      </c>
      <c r="E17" s="57">
        <f>IF(2&gt;Assumptions!$B$15,0,(0.75*'Per-Center'!$AC$17-('Per-Center'!$AD$17+'Per-Center'!$AE$17+'Per-Center'!$AF$17)+('Per-Center'!$AG$17+'Per-Center'!$AH$17+'Per-Center'!$AI$17+Assumptions!$B$29)-'Per-Center'!$AK$17)+IF(2=Assumptions!$B$15,('Per-Center'!$AJ$17/Assumptions!$B$16-('Per-Center'!$AO$17*(1+Assumptions!$B$23)^Assumptions!$B$15-'Per-Center'!$AK$17*((1+Assumptions!$B$23)^Assumptions!$B$15-1)/Assumptions!$B$23)),0))</f>
        <v/>
      </c>
      <c r="F17" s="57">
        <f>IF(3&gt;Assumptions!$B$15,0,(1*'Per-Center'!$AC$17-('Per-Center'!$AD$17+'Per-Center'!$AE$17+'Per-Center'!$AF$17)+('Per-Center'!$AG$17+'Per-Center'!$AH$17+'Per-Center'!$AI$17+Assumptions!$B$29)-'Per-Center'!$AK$17)+IF(3=Assumptions!$B$15,('Per-Center'!$AJ$17/Assumptions!$B$16-('Per-Center'!$AO$17*(1+Assumptions!$B$23)^Assumptions!$B$15-'Per-Center'!$AK$17*((1+Assumptions!$B$23)^Assumptions!$B$15-1)/Assumptions!$B$23)),0))</f>
        <v/>
      </c>
      <c r="G17" s="57">
        <f>IF(4&gt;Assumptions!$B$15,0,(1*'Per-Center'!$AC$17-('Per-Center'!$AD$17+'Per-Center'!$AE$17+'Per-Center'!$AF$17)+('Per-Center'!$AG$17+'Per-Center'!$AH$17+'Per-Center'!$AI$17+Assumptions!$B$29)-'Per-Center'!$AK$17)+IF(4=Assumptions!$B$15,('Per-Center'!$AJ$17/Assumptions!$B$16-('Per-Center'!$AO$17*(1+Assumptions!$B$23)^Assumptions!$B$15-'Per-Center'!$AK$17*((1+Assumptions!$B$23)^Assumptions!$B$15-1)/Assumptions!$B$23)),0))</f>
        <v/>
      </c>
      <c r="H17" s="57">
        <f>IF(5&gt;Assumptions!$B$15,0,(1*'Per-Center'!$AC$17-('Per-Center'!$AD$17+'Per-Center'!$AE$17+'Per-Center'!$AF$17)+('Per-Center'!$AG$17+'Per-Center'!$AH$17+'Per-Center'!$AI$17+Assumptions!$B$29)-'Per-Center'!$AK$17)+IF(5=Assumptions!$B$15,('Per-Center'!$AJ$17/Assumptions!$B$16-('Per-Center'!$AO$17*(1+Assumptions!$B$23)^Assumptions!$B$15-'Per-Center'!$AK$17*((1+Assumptions!$B$23)^Assumptions!$B$15-1)/Assumptions!$B$23)),0))</f>
        <v/>
      </c>
      <c r="I17" s="57">
        <f>IF(6&gt;Assumptions!$B$15,0,(1*'Per-Center'!$AC$17-('Per-Center'!$AD$17+'Per-Center'!$AE$17+'Per-Center'!$AF$17)+('Per-Center'!$AG$17+'Per-Center'!$AH$17+'Per-Center'!$AI$17+Assumptions!$B$29)-'Per-Center'!$AK$17)+IF(6=Assumptions!$B$15,('Per-Center'!$AJ$17/Assumptions!$B$16-('Per-Center'!$AO$17*(1+Assumptions!$B$23)^Assumptions!$B$15-'Per-Center'!$AK$17*((1+Assumptions!$B$23)^Assumptions!$B$15-1)/Assumptions!$B$23)),0))</f>
        <v/>
      </c>
      <c r="J17" s="57">
        <f>IF(7&gt;Assumptions!$B$15,0,(1*'Per-Center'!$AC$17-('Per-Center'!$AD$17+'Per-Center'!$AE$17+'Per-Center'!$AF$17)+('Per-Center'!$AG$17+'Per-Center'!$AH$17+'Per-Center'!$AI$17+Assumptions!$B$29)-'Per-Center'!$AK$17)+IF(7=Assumptions!$B$15,('Per-Center'!$AJ$17/Assumptions!$B$16-('Per-Center'!$AO$17*(1+Assumptions!$B$23)^Assumptions!$B$15-'Per-Center'!$AK$17*((1+Assumptions!$B$23)^Assumptions!$B$15-1)/Assumptions!$B$23)),0))</f>
        <v/>
      </c>
      <c r="K17" s="86">
        <f>IF(8&gt;Assumptions!$B$15,0,(1*'Per-Center'!$AC$17-('Per-Center'!$AD$17+'Per-Center'!$AE$17+'Per-Center'!$AF$17)+('Per-Center'!$AG$17+'Per-Center'!$AH$17+'Per-Center'!$AI$17+Assumptions!$B$29)-'Per-Center'!$AK$17)+IF(8=Assumptions!$B$15,('Per-Center'!$AJ$17/Assumptions!$B$16-('Per-Center'!$AO$17*(1+Assumptions!$B$23)^Assumptions!$B$15-'Per-Center'!$AK$17*((1+Assumptions!$B$23)^Assumptions!$B$15-1)/Assumptions!$B$23)),0))</f>
        <v/>
      </c>
      <c r="L17" s="86">
        <f>IF(9&gt;Assumptions!$B$15,0,(1*'Per-Center'!$AC$17-('Per-Center'!$AD$17+'Per-Center'!$AE$17+'Per-Center'!$AF$17)+('Per-Center'!$AG$17+'Per-Center'!$AH$17+'Per-Center'!$AI$17+Assumptions!$B$29)-'Per-Center'!$AK$17)+IF(9=Assumptions!$B$15,('Per-Center'!$AJ$17/Assumptions!$B$16-('Per-Center'!$AO$17*(1+Assumptions!$B$23)^Assumptions!$B$15-'Per-Center'!$AK$17*((1+Assumptions!$B$23)^Assumptions!$B$15-1)/Assumptions!$B$23)),0))</f>
        <v/>
      </c>
      <c r="M17" s="86">
        <f>IF(10&gt;Assumptions!$B$15,0,(1*'Per-Center'!$AC$17-('Per-Center'!$AD$17+'Per-Center'!$AE$17+'Per-Center'!$AF$17)+('Per-Center'!$AG$17+'Per-Center'!$AH$17+'Per-Center'!$AI$17+Assumptions!$B$29)-'Per-Center'!$AK$17)+IF(10=Assumptions!$B$15,('Per-Center'!$AJ$17/Assumptions!$B$16-('Per-Center'!$AO$17*(1+Assumptions!$B$23)^Assumptions!$B$15-'Per-Center'!$AK$17*((1+Assumptions!$B$23)^Assumptions!$B$15-1)/Assumptions!$B$23)),0))</f>
        <v/>
      </c>
      <c r="N17" s="66">
        <f>IFERROR(IRR(D17:M17,0.1),-0.99)</f>
        <v/>
      </c>
      <c r="O17" s="63">
        <f>IF((0.5*'Per-Center'!$AC$17-('Per-Center'!$AD$17+'Per-Center'!$AE$17+'Per-Center'!$AF$17)+('Per-Center'!$AG$17+'Per-Center'!$AH$17+'Per-Center'!$AI$17+Assumptions!$B$29))&gt;='Per-Center'!$AK$17,1,IF((0.75*'Per-Center'!$AC$17-('Per-Center'!$AD$17+'Per-Center'!$AE$17+'Per-Center'!$AF$17)+('Per-Center'!$AG$17+'Per-Center'!$AH$17+'Per-Center'!$AI$17+Assumptions!$B$29))&gt;='Per-Center'!$AK$17,2,IF(('Per-Center'!$AC$17-('Per-Center'!$AD$17+'Per-Center'!$AE$17+'Per-Center'!$AF$17)+('Per-Center'!$AG$17+'Per-Center'!$AH$17+'Per-Center'!$AI$17+Assumptions!$B$29))&gt;='Per-Center'!$AK$17,3,"&gt;"&amp;Assumptions!$B$15)))</f>
        <v/>
      </c>
      <c r="P17" s="57">
        <f>'Per-Center'!$AJ$17/Assumptions!$B$16</f>
        <v/>
      </c>
    </row>
    <row r="18" ht="15" customHeight="1" s="41">
      <c r="A18" s="46" t="inlineStr">
        <is>
          <t>Lakeway</t>
        </is>
      </c>
      <c r="B18" s="46" t="inlineStr">
        <is>
          <t>Edge</t>
        </is>
      </c>
      <c r="C18" s="57">
        <f>'Per-Center'!$AP$18</f>
        <v/>
      </c>
      <c r="D18" s="57">
        <f>IF(1&gt;Assumptions!$B$15,0,(0.5*'Per-Center'!$AC$18-('Per-Center'!$AD$18+'Per-Center'!$AE$18+'Per-Center'!$AF$18)+('Per-Center'!$AG$18+'Per-Center'!$AH$18+'Per-Center'!$AI$18+Assumptions!$B$29)-'Per-Center'!$AK$18)-'Per-Center'!$AP$18+IF(1=Assumptions!$B$15,('Per-Center'!$AJ$18/Assumptions!$B$16-('Per-Center'!$AO$18*(1+Assumptions!$B$23)^Assumptions!$B$15-'Per-Center'!$AK$18*((1+Assumptions!$B$23)^Assumptions!$B$15-1)/Assumptions!$B$23)),0))</f>
        <v/>
      </c>
      <c r="E18" s="57">
        <f>IF(2&gt;Assumptions!$B$15,0,(0.75*'Per-Center'!$AC$18-('Per-Center'!$AD$18+'Per-Center'!$AE$18+'Per-Center'!$AF$18)+('Per-Center'!$AG$18+'Per-Center'!$AH$18+'Per-Center'!$AI$18+Assumptions!$B$29)-'Per-Center'!$AK$18)+IF(2=Assumptions!$B$15,('Per-Center'!$AJ$18/Assumptions!$B$16-('Per-Center'!$AO$18*(1+Assumptions!$B$23)^Assumptions!$B$15-'Per-Center'!$AK$18*((1+Assumptions!$B$23)^Assumptions!$B$15-1)/Assumptions!$B$23)),0))</f>
        <v/>
      </c>
      <c r="F18" s="57">
        <f>IF(3&gt;Assumptions!$B$15,0,(1*'Per-Center'!$AC$18-('Per-Center'!$AD$18+'Per-Center'!$AE$18+'Per-Center'!$AF$18)+('Per-Center'!$AG$18+'Per-Center'!$AH$18+'Per-Center'!$AI$18+Assumptions!$B$29)-'Per-Center'!$AK$18)+IF(3=Assumptions!$B$15,('Per-Center'!$AJ$18/Assumptions!$B$16-('Per-Center'!$AO$18*(1+Assumptions!$B$23)^Assumptions!$B$15-'Per-Center'!$AK$18*((1+Assumptions!$B$23)^Assumptions!$B$15-1)/Assumptions!$B$23)),0))</f>
        <v/>
      </c>
      <c r="G18" s="57">
        <f>IF(4&gt;Assumptions!$B$15,0,(1*'Per-Center'!$AC$18-('Per-Center'!$AD$18+'Per-Center'!$AE$18+'Per-Center'!$AF$18)+('Per-Center'!$AG$18+'Per-Center'!$AH$18+'Per-Center'!$AI$18+Assumptions!$B$29)-'Per-Center'!$AK$18)+IF(4=Assumptions!$B$15,('Per-Center'!$AJ$18/Assumptions!$B$16-('Per-Center'!$AO$18*(1+Assumptions!$B$23)^Assumptions!$B$15-'Per-Center'!$AK$18*((1+Assumptions!$B$23)^Assumptions!$B$15-1)/Assumptions!$B$23)),0))</f>
        <v/>
      </c>
      <c r="H18" s="57">
        <f>IF(5&gt;Assumptions!$B$15,0,(1*'Per-Center'!$AC$18-('Per-Center'!$AD$18+'Per-Center'!$AE$18+'Per-Center'!$AF$18)+('Per-Center'!$AG$18+'Per-Center'!$AH$18+'Per-Center'!$AI$18+Assumptions!$B$29)-'Per-Center'!$AK$18)+IF(5=Assumptions!$B$15,('Per-Center'!$AJ$18/Assumptions!$B$16-('Per-Center'!$AO$18*(1+Assumptions!$B$23)^Assumptions!$B$15-'Per-Center'!$AK$18*((1+Assumptions!$B$23)^Assumptions!$B$15-1)/Assumptions!$B$23)),0))</f>
        <v/>
      </c>
      <c r="I18" s="57">
        <f>IF(6&gt;Assumptions!$B$15,0,(1*'Per-Center'!$AC$18-('Per-Center'!$AD$18+'Per-Center'!$AE$18+'Per-Center'!$AF$18)+('Per-Center'!$AG$18+'Per-Center'!$AH$18+'Per-Center'!$AI$18+Assumptions!$B$29)-'Per-Center'!$AK$18)+IF(6=Assumptions!$B$15,('Per-Center'!$AJ$18/Assumptions!$B$16-('Per-Center'!$AO$18*(1+Assumptions!$B$23)^Assumptions!$B$15-'Per-Center'!$AK$18*((1+Assumptions!$B$23)^Assumptions!$B$15-1)/Assumptions!$B$23)),0))</f>
        <v/>
      </c>
      <c r="J18" s="57">
        <f>IF(7&gt;Assumptions!$B$15,0,(1*'Per-Center'!$AC$18-('Per-Center'!$AD$18+'Per-Center'!$AE$18+'Per-Center'!$AF$18)+('Per-Center'!$AG$18+'Per-Center'!$AH$18+'Per-Center'!$AI$18+Assumptions!$B$29)-'Per-Center'!$AK$18)+IF(7=Assumptions!$B$15,('Per-Center'!$AJ$18/Assumptions!$B$16-('Per-Center'!$AO$18*(1+Assumptions!$B$23)^Assumptions!$B$15-'Per-Center'!$AK$18*((1+Assumptions!$B$23)^Assumptions!$B$15-1)/Assumptions!$B$23)),0))</f>
        <v/>
      </c>
      <c r="K18" s="86">
        <f>IF(8&gt;Assumptions!$B$15,0,(1*'Per-Center'!$AC$18-('Per-Center'!$AD$18+'Per-Center'!$AE$18+'Per-Center'!$AF$18)+('Per-Center'!$AG$18+'Per-Center'!$AH$18+'Per-Center'!$AI$18+Assumptions!$B$29)-'Per-Center'!$AK$18)+IF(8=Assumptions!$B$15,('Per-Center'!$AJ$18/Assumptions!$B$16-('Per-Center'!$AO$18*(1+Assumptions!$B$23)^Assumptions!$B$15-'Per-Center'!$AK$18*((1+Assumptions!$B$23)^Assumptions!$B$15-1)/Assumptions!$B$23)),0))</f>
        <v/>
      </c>
      <c r="L18" s="86">
        <f>IF(9&gt;Assumptions!$B$15,0,(1*'Per-Center'!$AC$18-('Per-Center'!$AD$18+'Per-Center'!$AE$18+'Per-Center'!$AF$18)+('Per-Center'!$AG$18+'Per-Center'!$AH$18+'Per-Center'!$AI$18+Assumptions!$B$29)-'Per-Center'!$AK$18)+IF(9=Assumptions!$B$15,('Per-Center'!$AJ$18/Assumptions!$B$16-('Per-Center'!$AO$18*(1+Assumptions!$B$23)^Assumptions!$B$15-'Per-Center'!$AK$18*((1+Assumptions!$B$23)^Assumptions!$B$15-1)/Assumptions!$B$23)),0))</f>
        <v/>
      </c>
      <c r="M18" s="86">
        <f>IF(10&gt;Assumptions!$B$15,0,(1*'Per-Center'!$AC$18-('Per-Center'!$AD$18+'Per-Center'!$AE$18+'Per-Center'!$AF$18)+('Per-Center'!$AG$18+'Per-Center'!$AH$18+'Per-Center'!$AI$18+Assumptions!$B$29)-'Per-Center'!$AK$18)+IF(10=Assumptions!$B$15,('Per-Center'!$AJ$18/Assumptions!$B$16-('Per-Center'!$AO$18*(1+Assumptions!$B$23)^Assumptions!$B$15-'Per-Center'!$AK$18*((1+Assumptions!$B$23)^Assumptions!$B$15-1)/Assumptions!$B$23)),0))</f>
        <v/>
      </c>
      <c r="N18" s="66">
        <f>IFERROR(IRR(D18:M18,0.1),-0.99)</f>
        <v/>
      </c>
      <c r="O18" s="63">
        <f>IF((0.5*'Per-Center'!$AC$18-('Per-Center'!$AD$18+'Per-Center'!$AE$18+'Per-Center'!$AF$18)+('Per-Center'!$AG$18+'Per-Center'!$AH$18+'Per-Center'!$AI$18+Assumptions!$B$29))&gt;='Per-Center'!$AK$18,1,IF((0.75*'Per-Center'!$AC$18-('Per-Center'!$AD$18+'Per-Center'!$AE$18+'Per-Center'!$AF$18)+('Per-Center'!$AG$18+'Per-Center'!$AH$18+'Per-Center'!$AI$18+Assumptions!$B$29))&gt;='Per-Center'!$AK$18,2,IF(('Per-Center'!$AC$18-('Per-Center'!$AD$18+'Per-Center'!$AE$18+'Per-Center'!$AF$18)+('Per-Center'!$AG$18+'Per-Center'!$AH$18+'Per-Center'!$AI$18+Assumptions!$B$29))&gt;='Per-Center'!$AK$18,3,"&gt;"&amp;Assumptions!$B$15)))</f>
        <v/>
      </c>
      <c r="P18" s="57">
        <f>'Per-Center'!$AJ$18/Assumptions!$B$16</f>
        <v/>
      </c>
    </row>
    <row r="19" ht="15" customHeight="1" s="41">
      <c r="A19" s="46" t="inlineStr">
        <is>
          <t>Manor</t>
        </is>
      </c>
      <c r="B19" s="46" t="inlineStr">
        <is>
          <t>Edge</t>
        </is>
      </c>
      <c r="C19" s="57">
        <f>'Per-Center'!$AP$19</f>
        <v/>
      </c>
      <c r="D19" s="57">
        <f>IF(1&gt;Assumptions!$B$15,0,(0.5*'Per-Center'!$AC$19-('Per-Center'!$AD$19+'Per-Center'!$AE$19+'Per-Center'!$AF$19)+('Per-Center'!$AG$19+'Per-Center'!$AH$19+'Per-Center'!$AI$19+Assumptions!$B$29)-'Per-Center'!$AK$19)-'Per-Center'!$AP$19+IF(1=Assumptions!$B$15,('Per-Center'!$AJ$19/Assumptions!$B$16-('Per-Center'!$AO$19*(1+Assumptions!$B$23)^Assumptions!$B$15-'Per-Center'!$AK$19*((1+Assumptions!$B$23)^Assumptions!$B$15-1)/Assumptions!$B$23)),0))</f>
        <v/>
      </c>
      <c r="E19" s="57">
        <f>IF(2&gt;Assumptions!$B$15,0,(0.75*'Per-Center'!$AC$19-('Per-Center'!$AD$19+'Per-Center'!$AE$19+'Per-Center'!$AF$19)+('Per-Center'!$AG$19+'Per-Center'!$AH$19+'Per-Center'!$AI$19+Assumptions!$B$29)-'Per-Center'!$AK$19)+IF(2=Assumptions!$B$15,('Per-Center'!$AJ$19/Assumptions!$B$16-('Per-Center'!$AO$19*(1+Assumptions!$B$23)^Assumptions!$B$15-'Per-Center'!$AK$19*((1+Assumptions!$B$23)^Assumptions!$B$15-1)/Assumptions!$B$23)),0))</f>
        <v/>
      </c>
      <c r="F19" s="57">
        <f>IF(3&gt;Assumptions!$B$15,0,(1*'Per-Center'!$AC$19-('Per-Center'!$AD$19+'Per-Center'!$AE$19+'Per-Center'!$AF$19)+('Per-Center'!$AG$19+'Per-Center'!$AH$19+'Per-Center'!$AI$19+Assumptions!$B$29)-'Per-Center'!$AK$19)+IF(3=Assumptions!$B$15,('Per-Center'!$AJ$19/Assumptions!$B$16-('Per-Center'!$AO$19*(1+Assumptions!$B$23)^Assumptions!$B$15-'Per-Center'!$AK$19*((1+Assumptions!$B$23)^Assumptions!$B$15-1)/Assumptions!$B$23)),0))</f>
        <v/>
      </c>
      <c r="G19" s="57">
        <f>IF(4&gt;Assumptions!$B$15,0,(1*'Per-Center'!$AC$19-('Per-Center'!$AD$19+'Per-Center'!$AE$19+'Per-Center'!$AF$19)+('Per-Center'!$AG$19+'Per-Center'!$AH$19+'Per-Center'!$AI$19+Assumptions!$B$29)-'Per-Center'!$AK$19)+IF(4=Assumptions!$B$15,('Per-Center'!$AJ$19/Assumptions!$B$16-('Per-Center'!$AO$19*(1+Assumptions!$B$23)^Assumptions!$B$15-'Per-Center'!$AK$19*((1+Assumptions!$B$23)^Assumptions!$B$15-1)/Assumptions!$B$23)),0))</f>
        <v/>
      </c>
      <c r="H19" s="57">
        <f>IF(5&gt;Assumptions!$B$15,0,(1*'Per-Center'!$AC$19-('Per-Center'!$AD$19+'Per-Center'!$AE$19+'Per-Center'!$AF$19)+('Per-Center'!$AG$19+'Per-Center'!$AH$19+'Per-Center'!$AI$19+Assumptions!$B$29)-'Per-Center'!$AK$19)+IF(5=Assumptions!$B$15,('Per-Center'!$AJ$19/Assumptions!$B$16-('Per-Center'!$AO$19*(1+Assumptions!$B$23)^Assumptions!$B$15-'Per-Center'!$AK$19*((1+Assumptions!$B$23)^Assumptions!$B$15-1)/Assumptions!$B$23)),0))</f>
        <v/>
      </c>
      <c r="I19" s="57">
        <f>IF(6&gt;Assumptions!$B$15,0,(1*'Per-Center'!$AC$19-('Per-Center'!$AD$19+'Per-Center'!$AE$19+'Per-Center'!$AF$19)+('Per-Center'!$AG$19+'Per-Center'!$AH$19+'Per-Center'!$AI$19+Assumptions!$B$29)-'Per-Center'!$AK$19)+IF(6=Assumptions!$B$15,('Per-Center'!$AJ$19/Assumptions!$B$16-('Per-Center'!$AO$19*(1+Assumptions!$B$23)^Assumptions!$B$15-'Per-Center'!$AK$19*((1+Assumptions!$B$23)^Assumptions!$B$15-1)/Assumptions!$B$23)),0))</f>
        <v/>
      </c>
      <c r="J19" s="57">
        <f>IF(7&gt;Assumptions!$B$15,0,(1*'Per-Center'!$AC$19-('Per-Center'!$AD$19+'Per-Center'!$AE$19+'Per-Center'!$AF$19)+('Per-Center'!$AG$19+'Per-Center'!$AH$19+'Per-Center'!$AI$19+Assumptions!$B$29)-'Per-Center'!$AK$19)+IF(7=Assumptions!$B$15,('Per-Center'!$AJ$19/Assumptions!$B$16-('Per-Center'!$AO$19*(1+Assumptions!$B$23)^Assumptions!$B$15-'Per-Center'!$AK$19*((1+Assumptions!$B$23)^Assumptions!$B$15-1)/Assumptions!$B$23)),0))</f>
        <v/>
      </c>
      <c r="K19" s="86">
        <f>IF(8&gt;Assumptions!$B$15,0,(1*'Per-Center'!$AC$19-('Per-Center'!$AD$19+'Per-Center'!$AE$19+'Per-Center'!$AF$19)+('Per-Center'!$AG$19+'Per-Center'!$AH$19+'Per-Center'!$AI$19+Assumptions!$B$29)-'Per-Center'!$AK$19)+IF(8=Assumptions!$B$15,('Per-Center'!$AJ$19/Assumptions!$B$16-('Per-Center'!$AO$19*(1+Assumptions!$B$23)^Assumptions!$B$15-'Per-Center'!$AK$19*((1+Assumptions!$B$23)^Assumptions!$B$15-1)/Assumptions!$B$23)),0))</f>
        <v/>
      </c>
      <c r="L19" s="86">
        <f>IF(9&gt;Assumptions!$B$15,0,(1*'Per-Center'!$AC$19-('Per-Center'!$AD$19+'Per-Center'!$AE$19+'Per-Center'!$AF$19)+('Per-Center'!$AG$19+'Per-Center'!$AH$19+'Per-Center'!$AI$19+Assumptions!$B$29)-'Per-Center'!$AK$19)+IF(9=Assumptions!$B$15,('Per-Center'!$AJ$19/Assumptions!$B$16-('Per-Center'!$AO$19*(1+Assumptions!$B$23)^Assumptions!$B$15-'Per-Center'!$AK$19*((1+Assumptions!$B$23)^Assumptions!$B$15-1)/Assumptions!$B$23)),0))</f>
        <v/>
      </c>
      <c r="M19" s="86">
        <f>IF(10&gt;Assumptions!$B$15,0,(1*'Per-Center'!$AC$19-('Per-Center'!$AD$19+'Per-Center'!$AE$19+'Per-Center'!$AF$19)+('Per-Center'!$AG$19+'Per-Center'!$AH$19+'Per-Center'!$AI$19+Assumptions!$B$29)-'Per-Center'!$AK$19)+IF(10=Assumptions!$B$15,('Per-Center'!$AJ$19/Assumptions!$B$16-('Per-Center'!$AO$19*(1+Assumptions!$B$23)^Assumptions!$B$15-'Per-Center'!$AK$19*((1+Assumptions!$B$23)^Assumptions!$B$15-1)/Assumptions!$B$23)),0))</f>
        <v/>
      </c>
      <c r="N19" s="66">
        <f>IFERROR(IRR(D19:M19,0.1),-0.99)</f>
        <v/>
      </c>
      <c r="O19" s="63">
        <f>IF((0.5*'Per-Center'!$AC$19-('Per-Center'!$AD$19+'Per-Center'!$AE$19+'Per-Center'!$AF$19)+('Per-Center'!$AG$19+'Per-Center'!$AH$19+'Per-Center'!$AI$19+Assumptions!$B$29))&gt;='Per-Center'!$AK$19,1,IF((0.75*'Per-Center'!$AC$19-('Per-Center'!$AD$19+'Per-Center'!$AE$19+'Per-Center'!$AF$19)+('Per-Center'!$AG$19+'Per-Center'!$AH$19+'Per-Center'!$AI$19+Assumptions!$B$29))&gt;='Per-Center'!$AK$19,2,IF(('Per-Center'!$AC$19-('Per-Center'!$AD$19+'Per-Center'!$AE$19+'Per-Center'!$AF$19)+('Per-Center'!$AG$19+'Per-Center'!$AH$19+'Per-Center'!$AI$19+Assumptions!$B$29))&gt;='Per-Center'!$AK$19,3,"&gt;"&amp;Assumptions!$B$15)))</f>
        <v/>
      </c>
      <c r="P19" s="57">
        <f>'Per-Center'!$AJ$19/Assumptions!$B$16</f>
        <v/>
      </c>
    </row>
    <row r="20" ht="15" customHeight="1" s="41">
      <c r="A20" s="46" t="inlineStr">
        <is>
          <t>Del Valle</t>
        </is>
      </c>
      <c r="B20" s="46" t="inlineStr">
        <is>
          <t>Edge</t>
        </is>
      </c>
      <c r="C20" s="57">
        <f>'Per-Center'!$AP$20</f>
        <v/>
      </c>
      <c r="D20" s="57">
        <f>IF(1&gt;Assumptions!$B$15,0,(0.5*'Per-Center'!$AC$20-('Per-Center'!$AD$20+'Per-Center'!$AE$20+'Per-Center'!$AF$20)+('Per-Center'!$AG$20+'Per-Center'!$AH$20+'Per-Center'!$AI$20+Assumptions!$B$29)-'Per-Center'!$AK$20)-'Per-Center'!$AP$20+IF(1=Assumptions!$B$15,('Per-Center'!$AJ$20/Assumptions!$B$16-('Per-Center'!$AO$20*(1+Assumptions!$B$23)^Assumptions!$B$15-'Per-Center'!$AK$20*((1+Assumptions!$B$23)^Assumptions!$B$15-1)/Assumptions!$B$23)),0))</f>
        <v/>
      </c>
      <c r="E20" s="57">
        <f>IF(2&gt;Assumptions!$B$15,0,(0.75*'Per-Center'!$AC$20-('Per-Center'!$AD$20+'Per-Center'!$AE$20+'Per-Center'!$AF$20)+('Per-Center'!$AG$20+'Per-Center'!$AH$20+'Per-Center'!$AI$20+Assumptions!$B$29)-'Per-Center'!$AK$20)+IF(2=Assumptions!$B$15,('Per-Center'!$AJ$20/Assumptions!$B$16-('Per-Center'!$AO$20*(1+Assumptions!$B$23)^Assumptions!$B$15-'Per-Center'!$AK$20*((1+Assumptions!$B$23)^Assumptions!$B$15-1)/Assumptions!$B$23)),0))</f>
        <v/>
      </c>
      <c r="F20" s="57">
        <f>IF(3&gt;Assumptions!$B$15,0,(1*'Per-Center'!$AC$20-('Per-Center'!$AD$20+'Per-Center'!$AE$20+'Per-Center'!$AF$20)+('Per-Center'!$AG$20+'Per-Center'!$AH$20+'Per-Center'!$AI$20+Assumptions!$B$29)-'Per-Center'!$AK$20)+IF(3=Assumptions!$B$15,('Per-Center'!$AJ$20/Assumptions!$B$16-('Per-Center'!$AO$20*(1+Assumptions!$B$23)^Assumptions!$B$15-'Per-Center'!$AK$20*((1+Assumptions!$B$23)^Assumptions!$B$15-1)/Assumptions!$B$23)),0))</f>
        <v/>
      </c>
      <c r="G20" s="57">
        <f>IF(4&gt;Assumptions!$B$15,0,(1*'Per-Center'!$AC$20-('Per-Center'!$AD$20+'Per-Center'!$AE$20+'Per-Center'!$AF$20)+('Per-Center'!$AG$20+'Per-Center'!$AH$20+'Per-Center'!$AI$20+Assumptions!$B$29)-'Per-Center'!$AK$20)+IF(4=Assumptions!$B$15,('Per-Center'!$AJ$20/Assumptions!$B$16-('Per-Center'!$AO$20*(1+Assumptions!$B$23)^Assumptions!$B$15-'Per-Center'!$AK$20*((1+Assumptions!$B$23)^Assumptions!$B$15-1)/Assumptions!$B$23)),0))</f>
        <v/>
      </c>
      <c r="H20" s="57">
        <f>IF(5&gt;Assumptions!$B$15,0,(1*'Per-Center'!$AC$20-('Per-Center'!$AD$20+'Per-Center'!$AE$20+'Per-Center'!$AF$20)+('Per-Center'!$AG$20+'Per-Center'!$AH$20+'Per-Center'!$AI$20+Assumptions!$B$29)-'Per-Center'!$AK$20)+IF(5=Assumptions!$B$15,('Per-Center'!$AJ$20/Assumptions!$B$16-('Per-Center'!$AO$20*(1+Assumptions!$B$23)^Assumptions!$B$15-'Per-Center'!$AK$20*((1+Assumptions!$B$23)^Assumptions!$B$15-1)/Assumptions!$B$23)),0))</f>
        <v/>
      </c>
      <c r="I20" s="57">
        <f>IF(6&gt;Assumptions!$B$15,0,(1*'Per-Center'!$AC$20-('Per-Center'!$AD$20+'Per-Center'!$AE$20+'Per-Center'!$AF$20)+('Per-Center'!$AG$20+'Per-Center'!$AH$20+'Per-Center'!$AI$20+Assumptions!$B$29)-'Per-Center'!$AK$20)+IF(6=Assumptions!$B$15,('Per-Center'!$AJ$20/Assumptions!$B$16-('Per-Center'!$AO$20*(1+Assumptions!$B$23)^Assumptions!$B$15-'Per-Center'!$AK$20*((1+Assumptions!$B$23)^Assumptions!$B$15-1)/Assumptions!$B$23)),0))</f>
        <v/>
      </c>
      <c r="J20" s="57">
        <f>IF(7&gt;Assumptions!$B$15,0,(1*'Per-Center'!$AC$20-('Per-Center'!$AD$20+'Per-Center'!$AE$20+'Per-Center'!$AF$20)+('Per-Center'!$AG$20+'Per-Center'!$AH$20+'Per-Center'!$AI$20+Assumptions!$B$29)-'Per-Center'!$AK$20)+IF(7=Assumptions!$B$15,('Per-Center'!$AJ$20/Assumptions!$B$16-('Per-Center'!$AO$20*(1+Assumptions!$B$23)^Assumptions!$B$15-'Per-Center'!$AK$20*((1+Assumptions!$B$23)^Assumptions!$B$15-1)/Assumptions!$B$23)),0))</f>
        <v/>
      </c>
      <c r="K20" s="86">
        <f>IF(8&gt;Assumptions!$B$15,0,(1*'Per-Center'!$AC$20-('Per-Center'!$AD$20+'Per-Center'!$AE$20+'Per-Center'!$AF$20)+('Per-Center'!$AG$20+'Per-Center'!$AH$20+'Per-Center'!$AI$20+Assumptions!$B$29)-'Per-Center'!$AK$20)+IF(8=Assumptions!$B$15,('Per-Center'!$AJ$20/Assumptions!$B$16-('Per-Center'!$AO$20*(1+Assumptions!$B$23)^Assumptions!$B$15-'Per-Center'!$AK$20*((1+Assumptions!$B$23)^Assumptions!$B$15-1)/Assumptions!$B$23)),0))</f>
        <v/>
      </c>
      <c r="L20" s="86">
        <f>IF(9&gt;Assumptions!$B$15,0,(1*'Per-Center'!$AC$20-('Per-Center'!$AD$20+'Per-Center'!$AE$20+'Per-Center'!$AF$20)+('Per-Center'!$AG$20+'Per-Center'!$AH$20+'Per-Center'!$AI$20+Assumptions!$B$29)-'Per-Center'!$AK$20)+IF(9=Assumptions!$B$15,('Per-Center'!$AJ$20/Assumptions!$B$16-('Per-Center'!$AO$20*(1+Assumptions!$B$23)^Assumptions!$B$15-'Per-Center'!$AK$20*((1+Assumptions!$B$23)^Assumptions!$B$15-1)/Assumptions!$B$23)),0))</f>
        <v/>
      </c>
      <c r="M20" s="86">
        <f>IF(10&gt;Assumptions!$B$15,0,(1*'Per-Center'!$AC$20-('Per-Center'!$AD$20+'Per-Center'!$AE$20+'Per-Center'!$AF$20)+('Per-Center'!$AG$20+'Per-Center'!$AH$20+'Per-Center'!$AI$20+Assumptions!$B$29)-'Per-Center'!$AK$20)+IF(10=Assumptions!$B$15,('Per-Center'!$AJ$20/Assumptions!$B$16-('Per-Center'!$AO$20*(1+Assumptions!$B$23)^Assumptions!$B$15-'Per-Center'!$AK$20*((1+Assumptions!$B$23)^Assumptions!$B$15-1)/Assumptions!$B$23)),0))</f>
        <v/>
      </c>
      <c r="N20" s="66">
        <f>IFERROR(IRR(D20:M20,0.1),-0.99)</f>
        <v/>
      </c>
      <c r="O20" s="63">
        <f>IF((0.5*'Per-Center'!$AC$20-('Per-Center'!$AD$20+'Per-Center'!$AE$20+'Per-Center'!$AF$20)+('Per-Center'!$AG$20+'Per-Center'!$AH$20+'Per-Center'!$AI$20+Assumptions!$B$29))&gt;='Per-Center'!$AK$20,1,IF((0.75*'Per-Center'!$AC$20-('Per-Center'!$AD$20+'Per-Center'!$AE$20+'Per-Center'!$AF$20)+('Per-Center'!$AG$20+'Per-Center'!$AH$20+'Per-Center'!$AI$20+Assumptions!$B$29))&gt;='Per-Center'!$AK$20,2,IF(('Per-Center'!$AC$20-('Per-Center'!$AD$20+'Per-Center'!$AE$20+'Per-Center'!$AF$20)+('Per-Center'!$AG$20+'Per-Center'!$AH$20+'Per-Center'!$AI$20+Assumptions!$B$29))&gt;='Per-Center'!$AK$20,3,"&gt;"&amp;Assumptions!$B$15)))</f>
        <v/>
      </c>
      <c r="P20" s="57">
        <f>'Per-Center'!$AJ$20/Assumptions!$B$16</f>
        <v/>
      </c>
    </row>
    <row r="21" ht="15" customHeight="1" s="41">
      <c r="A21" s="46" t="inlineStr">
        <is>
          <t>Jarrell</t>
        </is>
      </c>
      <c r="B21" s="46" t="inlineStr">
        <is>
          <t>Presence</t>
        </is>
      </c>
      <c r="C21" s="57">
        <f>'Per-Center'!$AP$21</f>
        <v/>
      </c>
      <c r="D21" s="57">
        <f>IF(1&gt;Assumptions!$B$15,0,(0.5*'Per-Center'!$AC$21-('Per-Center'!$AD$21+'Per-Center'!$AE$21+'Per-Center'!$AF$21)+('Per-Center'!$AG$21+'Per-Center'!$AH$21+'Per-Center'!$AI$21+Assumptions!$B$29)-'Per-Center'!$AK$21)-'Per-Center'!$AP$21+IF(1=Assumptions!$B$15,('Per-Center'!$AJ$21/Assumptions!$B$16-('Per-Center'!$AO$21*(1+Assumptions!$B$23)^Assumptions!$B$15-'Per-Center'!$AK$21*((1+Assumptions!$B$23)^Assumptions!$B$15-1)/Assumptions!$B$23)),0))</f>
        <v/>
      </c>
      <c r="E21" s="57">
        <f>IF(2&gt;Assumptions!$B$15,0,(0.75*'Per-Center'!$AC$21-('Per-Center'!$AD$21+'Per-Center'!$AE$21+'Per-Center'!$AF$21)+('Per-Center'!$AG$21+'Per-Center'!$AH$21+'Per-Center'!$AI$21+Assumptions!$B$29)-'Per-Center'!$AK$21)+IF(2=Assumptions!$B$15,('Per-Center'!$AJ$21/Assumptions!$B$16-('Per-Center'!$AO$21*(1+Assumptions!$B$23)^Assumptions!$B$15-'Per-Center'!$AK$21*((1+Assumptions!$B$23)^Assumptions!$B$15-1)/Assumptions!$B$23)),0))</f>
        <v/>
      </c>
      <c r="F21" s="57">
        <f>IF(3&gt;Assumptions!$B$15,0,(1*'Per-Center'!$AC$21-('Per-Center'!$AD$21+'Per-Center'!$AE$21+'Per-Center'!$AF$21)+('Per-Center'!$AG$21+'Per-Center'!$AH$21+'Per-Center'!$AI$21+Assumptions!$B$29)-'Per-Center'!$AK$21)+IF(3=Assumptions!$B$15,('Per-Center'!$AJ$21/Assumptions!$B$16-('Per-Center'!$AO$21*(1+Assumptions!$B$23)^Assumptions!$B$15-'Per-Center'!$AK$21*((1+Assumptions!$B$23)^Assumptions!$B$15-1)/Assumptions!$B$23)),0))</f>
        <v/>
      </c>
      <c r="G21" s="57">
        <f>IF(4&gt;Assumptions!$B$15,0,(1*'Per-Center'!$AC$21-('Per-Center'!$AD$21+'Per-Center'!$AE$21+'Per-Center'!$AF$21)+('Per-Center'!$AG$21+'Per-Center'!$AH$21+'Per-Center'!$AI$21+Assumptions!$B$29)-'Per-Center'!$AK$21)+IF(4=Assumptions!$B$15,('Per-Center'!$AJ$21/Assumptions!$B$16-('Per-Center'!$AO$21*(1+Assumptions!$B$23)^Assumptions!$B$15-'Per-Center'!$AK$21*((1+Assumptions!$B$23)^Assumptions!$B$15-1)/Assumptions!$B$23)),0))</f>
        <v/>
      </c>
      <c r="H21" s="57">
        <f>IF(5&gt;Assumptions!$B$15,0,(1*'Per-Center'!$AC$21-('Per-Center'!$AD$21+'Per-Center'!$AE$21+'Per-Center'!$AF$21)+('Per-Center'!$AG$21+'Per-Center'!$AH$21+'Per-Center'!$AI$21+Assumptions!$B$29)-'Per-Center'!$AK$21)+IF(5=Assumptions!$B$15,('Per-Center'!$AJ$21/Assumptions!$B$16-('Per-Center'!$AO$21*(1+Assumptions!$B$23)^Assumptions!$B$15-'Per-Center'!$AK$21*((1+Assumptions!$B$23)^Assumptions!$B$15-1)/Assumptions!$B$23)),0))</f>
        <v/>
      </c>
      <c r="I21" s="57">
        <f>IF(6&gt;Assumptions!$B$15,0,(1*'Per-Center'!$AC$21-('Per-Center'!$AD$21+'Per-Center'!$AE$21+'Per-Center'!$AF$21)+('Per-Center'!$AG$21+'Per-Center'!$AH$21+'Per-Center'!$AI$21+Assumptions!$B$29)-'Per-Center'!$AK$21)+IF(6=Assumptions!$B$15,('Per-Center'!$AJ$21/Assumptions!$B$16-('Per-Center'!$AO$21*(1+Assumptions!$B$23)^Assumptions!$B$15-'Per-Center'!$AK$21*((1+Assumptions!$B$23)^Assumptions!$B$15-1)/Assumptions!$B$23)),0))</f>
        <v/>
      </c>
      <c r="J21" s="57">
        <f>IF(7&gt;Assumptions!$B$15,0,(1*'Per-Center'!$AC$21-('Per-Center'!$AD$21+'Per-Center'!$AE$21+'Per-Center'!$AF$21)+('Per-Center'!$AG$21+'Per-Center'!$AH$21+'Per-Center'!$AI$21+Assumptions!$B$29)-'Per-Center'!$AK$21)+IF(7=Assumptions!$B$15,('Per-Center'!$AJ$21/Assumptions!$B$16-('Per-Center'!$AO$21*(1+Assumptions!$B$23)^Assumptions!$B$15-'Per-Center'!$AK$21*((1+Assumptions!$B$23)^Assumptions!$B$15-1)/Assumptions!$B$23)),0))</f>
        <v/>
      </c>
      <c r="K21" s="86">
        <f>IF(8&gt;Assumptions!$B$15,0,(1*'Per-Center'!$AC$21-('Per-Center'!$AD$21+'Per-Center'!$AE$21+'Per-Center'!$AF$21)+('Per-Center'!$AG$21+'Per-Center'!$AH$21+'Per-Center'!$AI$21+Assumptions!$B$29)-'Per-Center'!$AK$21)+IF(8=Assumptions!$B$15,('Per-Center'!$AJ$21/Assumptions!$B$16-('Per-Center'!$AO$21*(1+Assumptions!$B$23)^Assumptions!$B$15-'Per-Center'!$AK$21*((1+Assumptions!$B$23)^Assumptions!$B$15-1)/Assumptions!$B$23)),0))</f>
        <v/>
      </c>
      <c r="L21" s="86">
        <f>IF(9&gt;Assumptions!$B$15,0,(1*'Per-Center'!$AC$21-('Per-Center'!$AD$21+'Per-Center'!$AE$21+'Per-Center'!$AF$21)+('Per-Center'!$AG$21+'Per-Center'!$AH$21+'Per-Center'!$AI$21+Assumptions!$B$29)-'Per-Center'!$AK$21)+IF(9=Assumptions!$B$15,('Per-Center'!$AJ$21/Assumptions!$B$16-('Per-Center'!$AO$21*(1+Assumptions!$B$23)^Assumptions!$B$15-'Per-Center'!$AK$21*((1+Assumptions!$B$23)^Assumptions!$B$15-1)/Assumptions!$B$23)),0))</f>
        <v/>
      </c>
      <c r="M21" s="86">
        <f>IF(10&gt;Assumptions!$B$15,0,(1*'Per-Center'!$AC$21-('Per-Center'!$AD$21+'Per-Center'!$AE$21+'Per-Center'!$AF$21)+('Per-Center'!$AG$21+'Per-Center'!$AH$21+'Per-Center'!$AI$21+Assumptions!$B$29)-'Per-Center'!$AK$21)+IF(10=Assumptions!$B$15,('Per-Center'!$AJ$21/Assumptions!$B$16-('Per-Center'!$AO$21*(1+Assumptions!$B$23)^Assumptions!$B$15-'Per-Center'!$AK$21*((1+Assumptions!$B$23)^Assumptions!$B$15-1)/Assumptions!$B$23)),0))</f>
        <v/>
      </c>
      <c r="N21" s="66">
        <f>IFERROR(IRR(D21:M21,0.1),-0.99)</f>
        <v/>
      </c>
      <c r="O21" s="63">
        <f>IF((0.5*'Per-Center'!$AC$21-('Per-Center'!$AD$21+'Per-Center'!$AE$21+'Per-Center'!$AF$21)+('Per-Center'!$AG$21+'Per-Center'!$AH$21+'Per-Center'!$AI$21+Assumptions!$B$29))&gt;='Per-Center'!$AK$21,1,IF((0.75*'Per-Center'!$AC$21-('Per-Center'!$AD$21+'Per-Center'!$AE$21+'Per-Center'!$AF$21)+('Per-Center'!$AG$21+'Per-Center'!$AH$21+'Per-Center'!$AI$21+Assumptions!$B$29))&gt;='Per-Center'!$AK$21,2,IF(('Per-Center'!$AC$21-('Per-Center'!$AD$21+'Per-Center'!$AE$21+'Per-Center'!$AF$21)+('Per-Center'!$AG$21+'Per-Center'!$AH$21+'Per-Center'!$AI$21+Assumptions!$B$29))&gt;='Per-Center'!$AK$21,3,"&gt;"&amp;Assumptions!$B$15)))</f>
        <v/>
      </c>
      <c r="P21" s="57">
        <f>'Per-Center'!$AJ$21/Assumptions!$B$16</f>
        <v/>
      </c>
    </row>
    <row r="22" ht="15" customHeight="1" s="41">
      <c r="A22" s="46" t="inlineStr">
        <is>
          <t>Liberty Hill</t>
        </is>
      </c>
      <c r="B22" s="46" t="inlineStr">
        <is>
          <t>Presence</t>
        </is>
      </c>
      <c r="C22" s="57">
        <f>'Per-Center'!$AP$22</f>
        <v/>
      </c>
      <c r="D22" s="57">
        <f>IF(1&gt;Assumptions!$B$15,0,(0.5*'Per-Center'!$AC$22-('Per-Center'!$AD$22+'Per-Center'!$AE$22+'Per-Center'!$AF$22)+('Per-Center'!$AG$22+'Per-Center'!$AH$22+'Per-Center'!$AI$22+Assumptions!$B$29)-'Per-Center'!$AK$22)-'Per-Center'!$AP$22+IF(1=Assumptions!$B$15,('Per-Center'!$AJ$22/Assumptions!$B$16-('Per-Center'!$AO$22*(1+Assumptions!$B$23)^Assumptions!$B$15-'Per-Center'!$AK$22*((1+Assumptions!$B$23)^Assumptions!$B$15-1)/Assumptions!$B$23)),0))</f>
        <v/>
      </c>
      <c r="E22" s="57">
        <f>IF(2&gt;Assumptions!$B$15,0,(0.75*'Per-Center'!$AC$22-('Per-Center'!$AD$22+'Per-Center'!$AE$22+'Per-Center'!$AF$22)+('Per-Center'!$AG$22+'Per-Center'!$AH$22+'Per-Center'!$AI$22+Assumptions!$B$29)-'Per-Center'!$AK$22)+IF(2=Assumptions!$B$15,('Per-Center'!$AJ$22/Assumptions!$B$16-('Per-Center'!$AO$22*(1+Assumptions!$B$23)^Assumptions!$B$15-'Per-Center'!$AK$22*((1+Assumptions!$B$23)^Assumptions!$B$15-1)/Assumptions!$B$23)),0))</f>
        <v/>
      </c>
      <c r="F22" s="57">
        <f>IF(3&gt;Assumptions!$B$15,0,(1*'Per-Center'!$AC$22-('Per-Center'!$AD$22+'Per-Center'!$AE$22+'Per-Center'!$AF$22)+('Per-Center'!$AG$22+'Per-Center'!$AH$22+'Per-Center'!$AI$22+Assumptions!$B$29)-'Per-Center'!$AK$22)+IF(3=Assumptions!$B$15,('Per-Center'!$AJ$22/Assumptions!$B$16-('Per-Center'!$AO$22*(1+Assumptions!$B$23)^Assumptions!$B$15-'Per-Center'!$AK$22*((1+Assumptions!$B$23)^Assumptions!$B$15-1)/Assumptions!$B$23)),0))</f>
        <v/>
      </c>
      <c r="G22" s="57">
        <f>IF(4&gt;Assumptions!$B$15,0,(1*'Per-Center'!$AC$22-('Per-Center'!$AD$22+'Per-Center'!$AE$22+'Per-Center'!$AF$22)+('Per-Center'!$AG$22+'Per-Center'!$AH$22+'Per-Center'!$AI$22+Assumptions!$B$29)-'Per-Center'!$AK$22)+IF(4=Assumptions!$B$15,('Per-Center'!$AJ$22/Assumptions!$B$16-('Per-Center'!$AO$22*(1+Assumptions!$B$23)^Assumptions!$B$15-'Per-Center'!$AK$22*((1+Assumptions!$B$23)^Assumptions!$B$15-1)/Assumptions!$B$23)),0))</f>
        <v/>
      </c>
      <c r="H22" s="57">
        <f>IF(5&gt;Assumptions!$B$15,0,(1*'Per-Center'!$AC$22-('Per-Center'!$AD$22+'Per-Center'!$AE$22+'Per-Center'!$AF$22)+('Per-Center'!$AG$22+'Per-Center'!$AH$22+'Per-Center'!$AI$22+Assumptions!$B$29)-'Per-Center'!$AK$22)+IF(5=Assumptions!$B$15,('Per-Center'!$AJ$22/Assumptions!$B$16-('Per-Center'!$AO$22*(1+Assumptions!$B$23)^Assumptions!$B$15-'Per-Center'!$AK$22*((1+Assumptions!$B$23)^Assumptions!$B$15-1)/Assumptions!$B$23)),0))</f>
        <v/>
      </c>
      <c r="I22" s="57">
        <f>IF(6&gt;Assumptions!$B$15,0,(1*'Per-Center'!$AC$22-('Per-Center'!$AD$22+'Per-Center'!$AE$22+'Per-Center'!$AF$22)+('Per-Center'!$AG$22+'Per-Center'!$AH$22+'Per-Center'!$AI$22+Assumptions!$B$29)-'Per-Center'!$AK$22)+IF(6=Assumptions!$B$15,('Per-Center'!$AJ$22/Assumptions!$B$16-('Per-Center'!$AO$22*(1+Assumptions!$B$23)^Assumptions!$B$15-'Per-Center'!$AK$22*((1+Assumptions!$B$23)^Assumptions!$B$15-1)/Assumptions!$B$23)),0))</f>
        <v/>
      </c>
      <c r="J22" s="57">
        <f>IF(7&gt;Assumptions!$B$15,0,(1*'Per-Center'!$AC$22-('Per-Center'!$AD$22+'Per-Center'!$AE$22+'Per-Center'!$AF$22)+('Per-Center'!$AG$22+'Per-Center'!$AH$22+'Per-Center'!$AI$22+Assumptions!$B$29)-'Per-Center'!$AK$22)+IF(7=Assumptions!$B$15,('Per-Center'!$AJ$22/Assumptions!$B$16-('Per-Center'!$AO$22*(1+Assumptions!$B$23)^Assumptions!$B$15-'Per-Center'!$AK$22*((1+Assumptions!$B$23)^Assumptions!$B$15-1)/Assumptions!$B$23)),0))</f>
        <v/>
      </c>
      <c r="K22" s="86">
        <f>IF(8&gt;Assumptions!$B$15,0,(1*'Per-Center'!$AC$22-('Per-Center'!$AD$22+'Per-Center'!$AE$22+'Per-Center'!$AF$22)+('Per-Center'!$AG$22+'Per-Center'!$AH$22+'Per-Center'!$AI$22+Assumptions!$B$29)-'Per-Center'!$AK$22)+IF(8=Assumptions!$B$15,('Per-Center'!$AJ$22/Assumptions!$B$16-('Per-Center'!$AO$22*(1+Assumptions!$B$23)^Assumptions!$B$15-'Per-Center'!$AK$22*((1+Assumptions!$B$23)^Assumptions!$B$15-1)/Assumptions!$B$23)),0))</f>
        <v/>
      </c>
      <c r="L22" s="86">
        <f>IF(9&gt;Assumptions!$B$15,0,(1*'Per-Center'!$AC$22-('Per-Center'!$AD$22+'Per-Center'!$AE$22+'Per-Center'!$AF$22)+('Per-Center'!$AG$22+'Per-Center'!$AH$22+'Per-Center'!$AI$22+Assumptions!$B$29)-'Per-Center'!$AK$22)+IF(9=Assumptions!$B$15,('Per-Center'!$AJ$22/Assumptions!$B$16-('Per-Center'!$AO$22*(1+Assumptions!$B$23)^Assumptions!$B$15-'Per-Center'!$AK$22*((1+Assumptions!$B$23)^Assumptions!$B$15-1)/Assumptions!$B$23)),0))</f>
        <v/>
      </c>
      <c r="M22" s="86">
        <f>IF(10&gt;Assumptions!$B$15,0,(1*'Per-Center'!$AC$22-('Per-Center'!$AD$22+'Per-Center'!$AE$22+'Per-Center'!$AF$22)+('Per-Center'!$AG$22+'Per-Center'!$AH$22+'Per-Center'!$AI$22+Assumptions!$B$29)-'Per-Center'!$AK$22)+IF(10=Assumptions!$B$15,('Per-Center'!$AJ$22/Assumptions!$B$16-('Per-Center'!$AO$22*(1+Assumptions!$B$23)^Assumptions!$B$15-'Per-Center'!$AK$22*((1+Assumptions!$B$23)^Assumptions!$B$15-1)/Assumptions!$B$23)),0))</f>
        <v/>
      </c>
      <c r="N22" s="66">
        <f>IFERROR(IRR(D22:M22,0.1),-0.99)</f>
        <v/>
      </c>
      <c r="O22" s="63">
        <f>IF((0.5*'Per-Center'!$AC$22-('Per-Center'!$AD$22+'Per-Center'!$AE$22+'Per-Center'!$AF$22)+('Per-Center'!$AG$22+'Per-Center'!$AH$22+'Per-Center'!$AI$22+Assumptions!$B$29))&gt;='Per-Center'!$AK$22,1,IF((0.75*'Per-Center'!$AC$22-('Per-Center'!$AD$22+'Per-Center'!$AE$22+'Per-Center'!$AF$22)+('Per-Center'!$AG$22+'Per-Center'!$AH$22+'Per-Center'!$AI$22+Assumptions!$B$29))&gt;='Per-Center'!$AK$22,2,IF(('Per-Center'!$AC$22-('Per-Center'!$AD$22+'Per-Center'!$AE$22+'Per-Center'!$AF$22)+('Per-Center'!$AG$22+'Per-Center'!$AH$22+'Per-Center'!$AI$22+Assumptions!$B$29))&gt;='Per-Center'!$AK$22,3,"&gt;"&amp;Assumptions!$B$15)))</f>
        <v/>
      </c>
      <c r="P22" s="57">
        <f>'Per-Center'!$AJ$22/Assumptions!$B$16</f>
        <v/>
      </c>
    </row>
    <row r="23" ht="15" customHeight="1" s="41">
      <c r="A23" s="46" t="inlineStr">
        <is>
          <t>Bastrop</t>
        </is>
      </c>
      <c r="B23" s="46" t="inlineStr">
        <is>
          <t>Presence</t>
        </is>
      </c>
      <c r="C23" s="57">
        <f>'Per-Center'!$AP$23</f>
        <v/>
      </c>
      <c r="D23" s="57">
        <f>IF(1&gt;Assumptions!$B$15,0,(0.5*'Per-Center'!$AC$23-('Per-Center'!$AD$23+'Per-Center'!$AE$23+'Per-Center'!$AF$23)+('Per-Center'!$AG$23+'Per-Center'!$AH$23+'Per-Center'!$AI$23+Assumptions!$B$29)-'Per-Center'!$AK$23)-'Per-Center'!$AP$23+IF(1=Assumptions!$B$15,('Per-Center'!$AJ$23/Assumptions!$B$16-('Per-Center'!$AO$23*(1+Assumptions!$B$23)^Assumptions!$B$15-'Per-Center'!$AK$23*((1+Assumptions!$B$23)^Assumptions!$B$15-1)/Assumptions!$B$23)),0))</f>
        <v/>
      </c>
      <c r="E23" s="57">
        <f>IF(2&gt;Assumptions!$B$15,0,(0.75*'Per-Center'!$AC$23-('Per-Center'!$AD$23+'Per-Center'!$AE$23+'Per-Center'!$AF$23)+('Per-Center'!$AG$23+'Per-Center'!$AH$23+'Per-Center'!$AI$23+Assumptions!$B$29)-'Per-Center'!$AK$23)+IF(2=Assumptions!$B$15,('Per-Center'!$AJ$23/Assumptions!$B$16-('Per-Center'!$AO$23*(1+Assumptions!$B$23)^Assumptions!$B$15-'Per-Center'!$AK$23*((1+Assumptions!$B$23)^Assumptions!$B$15-1)/Assumptions!$B$23)),0))</f>
        <v/>
      </c>
      <c r="F23" s="57">
        <f>IF(3&gt;Assumptions!$B$15,0,(1*'Per-Center'!$AC$23-('Per-Center'!$AD$23+'Per-Center'!$AE$23+'Per-Center'!$AF$23)+('Per-Center'!$AG$23+'Per-Center'!$AH$23+'Per-Center'!$AI$23+Assumptions!$B$29)-'Per-Center'!$AK$23)+IF(3=Assumptions!$B$15,('Per-Center'!$AJ$23/Assumptions!$B$16-('Per-Center'!$AO$23*(1+Assumptions!$B$23)^Assumptions!$B$15-'Per-Center'!$AK$23*((1+Assumptions!$B$23)^Assumptions!$B$15-1)/Assumptions!$B$23)),0))</f>
        <v/>
      </c>
      <c r="G23" s="57">
        <f>IF(4&gt;Assumptions!$B$15,0,(1*'Per-Center'!$AC$23-('Per-Center'!$AD$23+'Per-Center'!$AE$23+'Per-Center'!$AF$23)+('Per-Center'!$AG$23+'Per-Center'!$AH$23+'Per-Center'!$AI$23+Assumptions!$B$29)-'Per-Center'!$AK$23)+IF(4=Assumptions!$B$15,('Per-Center'!$AJ$23/Assumptions!$B$16-('Per-Center'!$AO$23*(1+Assumptions!$B$23)^Assumptions!$B$15-'Per-Center'!$AK$23*((1+Assumptions!$B$23)^Assumptions!$B$15-1)/Assumptions!$B$23)),0))</f>
        <v/>
      </c>
      <c r="H23" s="57">
        <f>IF(5&gt;Assumptions!$B$15,0,(1*'Per-Center'!$AC$23-('Per-Center'!$AD$23+'Per-Center'!$AE$23+'Per-Center'!$AF$23)+('Per-Center'!$AG$23+'Per-Center'!$AH$23+'Per-Center'!$AI$23+Assumptions!$B$29)-'Per-Center'!$AK$23)+IF(5=Assumptions!$B$15,('Per-Center'!$AJ$23/Assumptions!$B$16-('Per-Center'!$AO$23*(1+Assumptions!$B$23)^Assumptions!$B$15-'Per-Center'!$AK$23*((1+Assumptions!$B$23)^Assumptions!$B$15-1)/Assumptions!$B$23)),0))</f>
        <v/>
      </c>
      <c r="I23" s="57">
        <f>IF(6&gt;Assumptions!$B$15,0,(1*'Per-Center'!$AC$23-('Per-Center'!$AD$23+'Per-Center'!$AE$23+'Per-Center'!$AF$23)+('Per-Center'!$AG$23+'Per-Center'!$AH$23+'Per-Center'!$AI$23+Assumptions!$B$29)-'Per-Center'!$AK$23)+IF(6=Assumptions!$B$15,('Per-Center'!$AJ$23/Assumptions!$B$16-('Per-Center'!$AO$23*(1+Assumptions!$B$23)^Assumptions!$B$15-'Per-Center'!$AK$23*((1+Assumptions!$B$23)^Assumptions!$B$15-1)/Assumptions!$B$23)),0))</f>
        <v/>
      </c>
      <c r="J23" s="57">
        <f>IF(7&gt;Assumptions!$B$15,0,(1*'Per-Center'!$AC$23-('Per-Center'!$AD$23+'Per-Center'!$AE$23+'Per-Center'!$AF$23)+('Per-Center'!$AG$23+'Per-Center'!$AH$23+'Per-Center'!$AI$23+Assumptions!$B$29)-'Per-Center'!$AK$23)+IF(7=Assumptions!$B$15,('Per-Center'!$AJ$23/Assumptions!$B$16-('Per-Center'!$AO$23*(1+Assumptions!$B$23)^Assumptions!$B$15-'Per-Center'!$AK$23*((1+Assumptions!$B$23)^Assumptions!$B$15-1)/Assumptions!$B$23)),0))</f>
        <v/>
      </c>
      <c r="K23" s="86">
        <f>IF(8&gt;Assumptions!$B$15,0,(1*'Per-Center'!$AC$23-('Per-Center'!$AD$23+'Per-Center'!$AE$23+'Per-Center'!$AF$23)+('Per-Center'!$AG$23+'Per-Center'!$AH$23+'Per-Center'!$AI$23+Assumptions!$B$29)-'Per-Center'!$AK$23)+IF(8=Assumptions!$B$15,('Per-Center'!$AJ$23/Assumptions!$B$16-('Per-Center'!$AO$23*(1+Assumptions!$B$23)^Assumptions!$B$15-'Per-Center'!$AK$23*((1+Assumptions!$B$23)^Assumptions!$B$15-1)/Assumptions!$B$23)),0))</f>
        <v/>
      </c>
      <c r="L23" s="86">
        <f>IF(9&gt;Assumptions!$B$15,0,(1*'Per-Center'!$AC$23-('Per-Center'!$AD$23+'Per-Center'!$AE$23+'Per-Center'!$AF$23)+('Per-Center'!$AG$23+'Per-Center'!$AH$23+'Per-Center'!$AI$23+Assumptions!$B$29)-'Per-Center'!$AK$23)+IF(9=Assumptions!$B$15,('Per-Center'!$AJ$23/Assumptions!$B$16-('Per-Center'!$AO$23*(1+Assumptions!$B$23)^Assumptions!$B$15-'Per-Center'!$AK$23*((1+Assumptions!$B$23)^Assumptions!$B$15-1)/Assumptions!$B$23)),0))</f>
        <v/>
      </c>
      <c r="M23" s="86">
        <f>IF(10&gt;Assumptions!$B$15,0,(1*'Per-Center'!$AC$23-('Per-Center'!$AD$23+'Per-Center'!$AE$23+'Per-Center'!$AF$23)+('Per-Center'!$AG$23+'Per-Center'!$AH$23+'Per-Center'!$AI$23+Assumptions!$B$29)-'Per-Center'!$AK$23)+IF(10=Assumptions!$B$15,('Per-Center'!$AJ$23/Assumptions!$B$16-('Per-Center'!$AO$23*(1+Assumptions!$B$23)^Assumptions!$B$15-'Per-Center'!$AK$23*((1+Assumptions!$B$23)^Assumptions!$B$15-1)/Assumptions!$B$23)),0))</f>
        <v/>
      </c>
      <c r="N23" s="66">
        <f>IFERROR(IRR(D23:M23,0.1),-0.99)</f>
        <v/>
      </c>
      <c r="O23" s="63">
        <f>IF((0.5*'Per-Center'!$AC$23-('Per-Center'!$AD$23+'Per-Center'!$AE$23+'Per-Center'!$AF$23)+('Per-Center'!$AG$23+'Per-Center'!$AH$23+'Per-Center'!$AI$23+Assumptions!$B$29))&gt;='Per-Center'!$AK$23,1,IF((0.75*'Per-Center'!$AC$23-('Per-Center'!$AD$23+'Per-Center'!$AE$23+'Per-Center'!$AF$23)+('Per-Center'!$AG$23+'Per-Center'!$AH$23+'Per-Center'!$AI$23+Assumptions!$B$29))&gt;='Per-Center'!$AK$23,2,IF(('Per-Center'!$AC$23-('Per-Center'!$AD$23+'Per-Center'!$AE$23+'Per-Center'!$AF$23)+('Per-Center'!$AG$23+'Per-Center'!$AH$23+'Per-Center'!$AI$23+Assumptions!$B$29))&gt;='Per-Center'!$AK$23,3,"&gt;"&amp;Assumptions!$B$15)))</f>
        <v/>
      </c>
      <c r="P23" s="57">
        <f>'Per-Center'!$AJ$23/Assumptions!$B$16</f>
        <v/>
      </c>
    </row>
    <row r="24" ht="15" customHeight="1" s="41">
      <c r="A24" s="46" t="inlineStr">
        <is>
          <t>Elgin</t>
        </is>
      </c>
      <c r="B24" s="46" t="inlineStr">
        <is>
          <t>Presence</t>
        </is>
      </c>
      <c r="C24" s="57">
        <f>'Per-Center'!$AP$24</f>
        <v/>
      </c>
      <c r="D24" s="57">
        <f>IF(1&gt;Assumptions!$B$15,0,(0.5*'Per-Center'!$AC$24-('Per-Center'!$AD$24+'Per-Center'!$AE$24+'Per-Center'!$AF$24)+('Per-Center'!$AG$24+'Per-Center'!$AH$24+'Per-Center'!$AI$24+Assumptions!$B$29)-'Per-Center'!$AK$24)-'Per-Center'!$AP$24+IF(1=Assumptions!$B$15,('Per-Center'!$AJ$24/Assumptions!$B$16-('Per-Center'!$AO$24*(1+Assumptions!$B$23)^Assumptions!$B$15-'Per-Center'!$AK$24*((1+Assumptions!$B$23)^Assumptions!$B$15-1)/Assumptions!$B$23)),0))</f>
        <v/>
      </c>
      <c r="E24" s="57">
        <f>IF(2&gt;Assumptions!$B$15,0,(0.75*'Per-Center'!$AC$24-('Per-Center'!$AD$24+'Per-Center'!$AE$24+'Per-Center'!$AF$24)+('Per-Center'!$AG$24+'Per-Center'!$AH$24+'Per-Center'!$AI$24+Assumptions!$B$29)-'Per-Center'!$AK$24)+IF(2=Assumptions!$B$15,('Per-Center'!$AJ$24/Assumptions!$B$16-('Per-Center'!$AO$24*(1+Assumptions!$B$23)^Assumptions!$B$15-'Per-Center'!$AK$24*((1+Assumptions!$B$23)^Assumptions!$B$15-1)/Assumptions!$B$23)),0))</f>
        <v/>
      </c>
      <c r="F24" s="57">
        <f>IF(3&gt;Assumptions!$B$15,0,(1*'Per-Center'!$AC$24-('Per-Center'!$AD$24+'Per-Center'!$AE$24+'Per-Center'!$AF$24)+('Per-Center'!$AG$24+'Per-Center'!$AH$24+'Per-Center'!$AI$24+Assumptions!$B$29)-'Per-Center'!$AK$24)+IF(3=Assumptions!$B$15,('Per-Center'!$AJ$24/Assumptions!$B$16-('Per-Center'!$AO$24*(1+Assumptions!$B$23)^Assumptions!$B$15-'Per-Center'!$AK$24*((1+Assumptions!$B$23)^Assumptions!$B$15-1)/Assumptions!$B$23)),0))</f>
        <v/>
      </c>
      <c r="G24" s="57">
        <f>IF(4&gt;Assumptions!$B$15,0,(1*'Per-Center'!$AC$24-('Per-Center'!$AD$24+'Per-Center'!$AE$24+'Per-Center'!$AF$24)+('Per-Center'!$AG$24+'Per-Center'!$AH$24+'Per-Center'!$AI$24+Assumptions!$B$29)-'Per-Center'!$AK$24)+IF(4=Assumptions!$B$15,('Per-Center'!$AJ$24/Assumptions!$B$16-('Per-Center'!$AO$24*(1+Assumptions!$B$23)^Assumptions!$B$15-'Per-Center'!$AK$24*((1+Assumptions!$B$23)^Assumptions!$B$15-1)/Assumptions!$B$23)),0))</f>
        <v/>
      </c>
      <c r="H24" s="57">
        <f>IF(5&gt;Assumptions!$B$15,0,(1*'Per-Center'!$AC$24-('Per-Center'!$AD$24+'Per-Center'!$AE$24+'Per-Center'!$AF$24)+('Per-Center'!$AG$24+'Per-Center'!$AH$24+'Per-Center'!$AI$24+Assumptions!$B$29)-'Per-Center'!$AK$24)+IF(5=Assumptions!$B$15,('Per-Center'!$AJ$24/Assumptions!$B$16-('Per-Center'!$AO$24*(1+Assumptions!$B$23)^Assumptions!$B$15-'Per-Center'!$AK$24*((1+Assumptions!$B$23)^Assumptions!$B$15-1)/Assumptions!$B$23)),0))</f>
        <v/>
      </c>
      <c r="I24" s="57">
        <f>IF(6&gt;Assumptions!$B$15,0,(1*'Per-Center'!$AC$24-('Per-Center'!$AD$24+'Per-Center'!$AE$24+'Per-Center'!$AF$24)+('Per-Center'!$AG$24+'Per-Center'!$AH$24+'Per-Center'!$AI$24+Assumptions!$B$29)-'Per-Center'!$AK$24)+IF(6=Assumptions!$B$15,('Per-Center'!$AJ$24/Assumptions!$B$16-('Per-Center'!$AO$24*(1+Assumptions!$B$23)^Assumptions!$B$15-'Per-Center'!$AK$24*((1+Assumptions!$B$23)^Assumptions!$B$15-1)/Assumptions!$B$23)),0))</f>
        <v/>
      </c>
      <c r="J24" s="57">
        <f>IF(7&gt;Assumptions!$B$15,0,(1*'Per-Center'!$AC$24-('Per-Center'!$AD$24+'Per-Center'!$AE$24+'Per-Center'!$AF$24)+('Per-Center'!$AG$24+'Per-Center'!$AH$24+'Per-Center'!$AI$24+Assumptions!$B$29)-'Per-Center'!$AK$24)+IF(7=Assumptions!$B$15,('Per-Center'!$AJ$24/Assumptions!$B$16-('Per-Center'!$AO$24*(1+Assumptions!$B$23)^Assumptions!$B$15-'Per-Center'!$AK$24*((1+Assumptions!$B$23)^Assumptions!$B$15-1)/Assumptions!$B$23)),0))</f>
        <v/>
      </c>
      <c r="K24" s="86">
        <f>IF(8&gt;Assumptions!$B$15,0,(1*'Per-Center'!$AC$24-('Per-Center'!$AD$24+'Per-Center'!$AE$24+'Per-Center'!$AF$24)+('Per-Center'!$AG$24+'Per-Center'!$AH$24+'Per-Center'!$AI$24+Assumptions!$B$29)-'Per-Center'!$AK$24)+IF(8=Assumptions!$B$15,('Per-Center'!$AJ$24/Assumptions!$B$16-('Per-Center'!$AO$24*(1+Assumptions!$B$23)^Assumptions!$B$15-'Per-Center'!$AK$24*((1+Assumptions!$B$23)^Assumptions!$B$15-1)/Assumptions!$B$23)),0))</f>
        <v/>
      </c>
      <c r="L24" s="86">
        <f>IF(9&gt;Assumptions!$B$15,0,(1*'Per-Center'!$AC$24-('Per-Center'!$AD$24+'Per-Center'!$AE$24+'Per-Center'!$AF$24)+('Per-Center'!$AG$24+'Per-Center'!$AH$24+'Per-Center'!$AI$24+Assumptions!$B$29)-'Per-Center'!$AK$24)+IF(9=Assumptions!$B$15,('Per-Center'!$AJ$24/Assumptions!$B$16-('Per-Center'!$AO$24*(1+Assumptions!$B$23)^Assumptions!$B$15-'Per-Center'!$AK$24*((1+Assumptions!$B$23)^Assumptions!$B$15-1)/Assumptions!$B$23)),0))</f>
        <v/>
      </c>
      <c r="M24" s="86">
        <f>IF(10&gt;Assumptions!$B$15,0,(1*'Per-Center'!$AC$24-('Per-Center'!$AD$24+'Per-Center'!$AE$24+'Per-Center'!$AF$24)+('Per-Center'!$AG$24+'Per-Center'!$AH$24+'Per-Center'!$AI$24+Assumptions!$B$29)-'Per-Center'!$AK$24)+IF(10=Assumptions!$B$15,('Per-Center'!$AJ$24/Assumptions!$B$16-('Per-Center'!$AO$24*(1+Assumptions!$B$23)^Assumptions!$B$15-'Per-Center'!$AK$24*((1+Assumptions!$B$23)^Assumptions!$B$15-1)/Assumptions!$B$23)),0))</f>
        <v/>
      </c>
      <c r="N24" s="66">
        <f>IFERROR(IRR(D24:M24,0.1),-0.99)</f>
        <v/>
      </c>
      <c r="O24" s="63">
        <f>IF((0.5*'Per-Center'!$AC$24-('Per-Center'!$AD$24+'Per-Center'!$AE$24+'Per-Center'!$AF$24)+('Per-Center'!$AG$24+'Per-Center'!$AH$24+'Per-Center'!$AI$24+Assumptions!$B$29))&gt;='Per-Center'!$AK$24,1,IF((0.75*'Per-Center'!$AC$24-('Per-Center'!$AD$24+'Per-Center'!$AE$24+'Per-Center'!$AF$24)+('Per-Center'!$AG$24+'Per-Center'!$AH$24+'Per-Center'!$AI$24+Assumptions!$B$29))&gt;='Per-Center'!$AK$24,2,IF(('Per-Center'!$AC$24-('Per-Center'!$AD$24+'Per-Center'!$AE$24+'Per-Center'!$AF$24)+('Per-Center'!$AG$24+'Per-Center'!$AH$24+'Per-Center'!$AI$24+Assumptions!$B$29))&gt;='Per-Center'!$AK$24,3,"&gt;"&amp;Assumptions!$B$15)))</f>
        <v/>
      </c>
      <c r="P24" s="57">
        <f>'Per-Center'!$AJ$24/Assumptions!$B$16</f>
        <v/>
      </c>
    </row>
    <row r="25" ht="15" customHeight="1" s="41">
      <c r="A25" s="46" t="inlineStr">
        <is>
          <t>Lockhart</t>
        </is>
      </c>
      <c r="B25" s="46" t="inlineStr">
        <is>
          <t>Presence</t>
        </is>
      </c>
      <c r="C25" s="57">
        <f>'Per-Center'!$AP$25</f>
        <v/>
      </c>
      <c r="D25" s="57">
        <f>IF(1&gt;Assumptions!$B$15,0,(0.5*'Per-Center'!$AC$25-('Per-Center'!$AD$25+'Per-Center'!$AE$25+'Per-Center'!$AF$25)+('Per-Center'!$AG$25+'Per-Center'!$AH$25+'Per-Center'!$AI$25+Assumptions!$B$29)-'Per-Center'!$AK$25)-'Per-Center'!$AP$25+IF(1=Assumptions!$B$15,('Per-Center'!$AJ$25/Assumptions!$B$16-('Per-Center'!$AO$25*(1+Assumptions!$B$23)^Assumptions!$B$15-'Per-Center'!$AK$25*((1+Assumptions!$B$23)^Assumptions!$B$15-1)/Assumptions!$B$23)),0))</f>
        <v/>
      </c>
      <c r="E25" s="57">
        <f>IF(2&gt;Assumptions!$B$15,0,(0.75*'Per-Center'!$AC$25-('Per-Center'!$AD$25+'Per-Center'!$AE$25+'Per-Center'!$AF$25)+('Per-Center'!$AG$25+'Per-Center'!$AH$25+'Per-Center'!$AI$25+Assumptions!$B$29)-'Per-Center'!$AK$25)+IF(2=Assumptions!$B$15,('Per-Center'!$AJ$25/Assumptions!$B$16-('Per-Center'!$AO$25*(1+Assumptions!$B$23)^Assumptions!$B$15-'Per-Center'!$AK$25*((1+Assumptions!$B$23)^Assumptions!$B$15-1)/Assumptions!$B$23)),0))</f>
        <v/>
      </c>
      <c r="F25" s="57">
        <f>IF(3&gt;Assumptions!$B$15,0,(1*'Per-Center'!$AC$25-('Per-Center'!$AD$25+'Per-Center'!$AE$25+'Per-Center'!$AF$25)+('Per-Center'!$AG$25+'Per-Center'!$AH$25+'Per-Center'!$AI$25+Assumptions!$B$29)-'Per-Center'!$AK$25)+IF(3=Assumptions!$B$15,('Per-Center'!$AJ$25/Assumptions!$B$16-('Per-Center'!$AO$25*(1+Assumptions!$B$23)^Assumptions!$B$15-'Per-Center'!$AK$25*((1+Assumptions!$B$23)^Assumptions!$B$15-1)/Assumptions!$B$23)),0))</f>
        <v/>
      </c>
      <c r="G25" s="57">
        <f>IF(4&gt;Assumptions!$B$15,0,(1*'Per-Center'!$AC$25-('Per-Center'!$AD$25+'Per-Center'!$AE$25+'Per-Center'!$AF$25)+('Per-Center'!$AG$25+'Per-Center'!$AH$25+'Per-Center'!$AI$25+Assumptions!$B$29)-'Per-Center'!$AK$25)+IF(4=Assumptions!$B$15,('Per-Center'!$AJ$25/Assumptions!$B$16-('Per-Center'!$AO$25*(1+Assumptions!$B$23)^Assumptions!$B$15-'Per-Center'!$AK$25*((1+Assumptions!$B$23)^Assumptions!$B$15-1)/Assumptions!$B$23)),0))</f>
        <v/>
      </c>
      <c r="H25" s="57">
        <f>IF(5&gt;Assumptions!$B$15,0,(1*'Per-Center'!$AC$25-('Per-Center'!$AD$25+'Per-Center'!$AE$25+'Per-Center'!$AF$25)+('Per-Center'!$AG$25+'Per-Center'!$AH$25+'Per-Center'!$AI$25+Assumptions!$B$29)-'Per-Center'!$AK$25)+IF(5=Assumptions!$B$15,('Per-Center'!$AJ$25/Assumptions!$B$16-('Per-Center'!$AO$25*(1+Assumptions!$B$23)^Assumptions!$B$15-'Per-Center'!$AK$25*((1+Assumptions!$B$23)^Assumptions!$B$15-1)/Assumptions!$B$23)),0))</f>
        <v/>
      </c>
      <c r="I25" s="57">
        <f>IF(6&gt;Assumptions!$B$15,0,(1*'Per-Center'!$AC$25-('Per-Center'!$AD$25+'Per-Center'!$AE$25+'Per-Center'!$AF$25)+('Per-Center'!$AG$25+'Per-Center'!$AH$25+'Per-Center'!$AI$25+Assumptions!$B$29)-'Per-Center'!$AK$25)+IF(6=Assumptions!$B$15,('Per-Center'!$AJ$25/Assumptions!$B$16-('Per-Center'!$AO$25*(1+Assumptions!$B$23)^Assumptions!$B$15-'Per-Center'!$AK$25*((1+Assumptions!$B$23)^Assumptions!$B$15-1)/Assumptions!$B$23)),0))</f>
        <v/>
      </c>
      <c r="J25" s="57">
        <f>IF(7&gt;Assumptions!$B$15,0,(1*'Per-Center'!$AC$25-('Per-Center'!$AD$25+'Per-Center'!$AE$25+'Per-Center'!$AF$25)+('Per-Center'!$AG$25+'Per-Center'!$AH$25+'Per-Center'!$AI$25+Assumptions!$B$29)-'Per-Center'!$AK$25)+IF(7=Assumptions!$B$15,('Per-Center'!$AJ$25/Assumptions!$B$16-('Per-Center'!$AO$25*(1+Assumptions!$B$23)^Assumptions!$B$15-'Per-Center'!$AK$25*((1+Assumptions!$B$23)^Assumptions!$B$15-1)/Assumptions!$B$23)),0))</f>
        <v/>
      </c>
      <c r="K25" s="86">
        <f>IF(8&gt;Assumptions!$B$15,0,(1*'Per-Center'!$AC$25-('Per-Center'!$AD$25+'Per-Center'!$AE$25+'Per-Center'!$AF$25)+('Per-Center'!$AG$25+'Per-Center'!$AH$25+'Per-Center'!$AI$25+Assumptions!$B$29)-'Per-Center'!$AK$25)+IF(8=Assumptions!$B$15,('Per-Center'!$AJ$25/Assumptions!$B$16-('Per-Center'!$AO$25*(1+Assumptions!$B$23)^Assumptions!$B$15-'Per-Center'!$AK$25*((1+Assumptions!$B$23)^Assumptions!$B$15-1)/Assumptions!$B$23)),0))</f>
        <v/>
      </c>
      <c r="L25" s="86">
        <f>IF(9&gt;Assumptions!$B$15,0,(1*'Per-Center'!$AC$25-('Per-Center'!$AD$25+'Per-Center'!$AE$25+'Per-Center'!$AF$25)+('Per-Center'!$AG$25+'Per-Center'!$AH$25+'Per-Center'!$AI$25+Assumptions!$B$29)-'Per-Center'!$AK$25)+IF(9=Assumptions!$B$15,('Per-Center'!$AJ$25/Assumptions!$B$16-('Per-Center'!$AO$25*(1+Assumptions!$B$23)^Assumptions!$B$15-'Per-Center'!$AK$25*((1+Assumptions!$B$23)^Assumptions!$B$15-1)/Assumptions!$B$23)),0))</f>
        <v/>
      </c>
      <c r="M25" s="86">
        <f>IF(10&gt;Assumptions!$B$15,0,(1*'Per-Center'!$AC$25-('Per-Center'!$AD$25+'Per-Center'!$AE$25+'Per-Center'!$AF$25)+('Per-Center'!$AG$25+'Per-Center'!$AH$25+'Per-Center'!$AI$25+Assumptions!$B$29)-'Per-Center'!$AK$25)+IF(10=Assumptions!$B$15,('Per-Center'!$AJ$25/Assumptions!$B$16-('Per-Center'!$AO$25*(1+Assumptions!$B$23)^Assumptions!$B$15-'Per-Center'!$AK$25*((1+Assumptions!$B$23)^Assumptions!$B$15-1)/Assumptions!$B$23)),0))</f>
        <v/>
      </c>
      <c r="N25" s="66">
        <f>IFERROR(IRR(D25:M25,0.1),-0.99)</f>
        <v/>
      </c>
      <c r="O25" s="63">
        <f>IF((0.5*'Per-Center'!$AC$25-('Per-Center'!$AD$25+'Per-Center'!$AE$25+'Per-Center'!$AF$25)+('Per-Center'!$AG$25+'Per-Center'!$AH$25+'Per-Center'!$AI$25+Assumptions!$B$29))&gt;='Per-Center'!$AK$25,1,IF((0.75*'Per-Center'!$AC$25-('Per-Center'!$AD$25+'Per-Center'!$AE$25+'Per-Center'!$AF$25)+('Per-Center'!$AG$25+'Per-Center'!$AH$25+'Per-Center'!$AI$25+Assumptions!$B$29))&gt;='Per-Center'!$AK$25,2,IF(('Per-Center'!$AC$25-('Per-Center'!$AD$25+'Per-Center'!$AE$25+'Per-Center'!$AF$25)+('Per-Center'!$AG$25+'Per-Center'!$AH$25+'Per-Center'!$AI$25+Assumptions!$B$29))&gt;='Per-Center'!$AK$25,3,"&gt;"&amp;Assumptions!$B$15)))</f>
        <v/>
      </c>
      <c r="P25" s="57">
        <f>'Per-Center'!$AJ$25/Assumptions!$B$16</f>
        <v/>
      </c>
    </row>
    <row r="26" ht="15" customHeight="1" s="41">
      <c r="A26" s="46" t="inlineStr">
        <is>
          <t>Marble Falls</t>
        </is>
      </c>
      <c r="B26" s="46" t="inlineStr">
        <is>
          <t>Presence</t>
        </is>
      </c>
      <c r="C26" s="57">
        <f>'Per-Center'!$AP$26</f>
        <v/>
      </c>
      <c r="D26" s="57">
        <f>IF(1&gt;Assumptions!$B$15,0,(0.5*'Per-Center'!$AC$26-('Per-Center'!$AD$26+'Per-Center'!$AE$26+'Per-Center'!$AF$26)+('Per-Center'!$AG$26+'Per-Center'!$AH$26+'Per-Center'!$AI$26+Assumptions!$B$29)-'Per-Center'!$AK$26)-'Per-Center'!$AP$26+IF(1=Assumptions!$B$15,('Per-Center'!$AJ$26/Assumptions!$B$16-('Per-Center'!$AO$26*(1+Assumptions!$B$23)^Assumptions!$B$15-'Per-Center'!$AK$26*((1+Assumptions!$B$23)^Assumptions!$B$15-1)/Assumptions!$B$23)),0))</f>
        <v/>
      </c>
      <c r="E26" s="57">
        <f>IF(2&gt;Assumptions!$B$15,0,(0.75*'Per-Center'!$AC$26-('Per-Center'!$AD$26+'Per-Center'!$AE$26+'Per-Center'!$AF$26)+('Per-Center'!$AG$26+'Per-Center'!$AH$26+'Per-Center'!$AI$26+Assumptions!$B$29)-'Per-Center'!$AK$26)+IF(2=Assumptions!$B$15,('Per-Center'!$AJ$26/Assumptions!$B$16-('Per-Center'!$AO$26*(1+Assumptions!$B$23)^Assumptions!$B$15-'Per-Center'!$AK$26*((1+Assumptions!$B$23)^Assumptions!$B$15-1)/Assumptions!$B$23)),0))</f>
        <v/>
      </c>
      <c r="F26" s="57">
        <f>IF(3&gt;Assumptions!$B$15,0,(1*'Per-Center'!$AC$26-('Per-Center'!$AD$26+'Per-Center'!$AE$26+'Per-Center'!$AF$26)+('Per-Center'!$AG$26+'Per-Center'!$AH$26+'Per-Center'!$AI$26+Assumptions!$B$29)-'Per-Center'!$AK$26)+IF(3=Assumptions!$B$15,('Per-Center'!$AJ$26/Assumptions!$B$16-('Per-Center'!$AO$26*(1+Assumptions!$B$23)^Assumptions!$B$15-'Per-Center'!$AK$26*((1+Assumptions!$B$23)^Assumptions!$B$15-1)/Assumptions!$B$23)),0))</f>
        <v/>
      </c>
      <c r="G26" s="57">
        <f>IF(4&gt;Assumptions!$B$15,0,(1*'Per-Center'!$AC$26-('Per-Center'!$AD$26+'Per-Center'!$AE$26+'Per-Center'!$AF$26)+('Per-Center'!$AG$26+'Per-Center'!$AH$26+'Per-Center'!$AI$26+Assumptions!$B$29)-'Per-Center'!$AK$26)+IF(4=Assumptions!$B$15,('Per-Center'!$AJ$26/Assumptions!$B$16-('Per-Center'!$AO$26*(1+Assumptions!$B$23)^Assumptions!$B$15-'Per-Center'!$AK$26*((1+Assumptions!$B$23)^Assumptions!$B$15-1)/Assumptions!$B$23)),0))</f>
        <v/>
      </c>
      <c r="H26" s="57">
        <f>IF(5&gt;Assumptions!$B$15,0,(1*'Per-Center'!$AC$26-('Per-Center'!$AD$26+'Per-Center'!$AE$26+'Per-Center'!$AF$26)+('Per-Center'!$AG$26+'Per-Center'!$AH$26+'Per-Center'!$AI$26+Assumptions!$B$29)-'Per-Center'!$AK$26)+IF(5=Assumptions!$B$15,('Per-Center'!$AJ$26/Assumptions!$B$16-('Per-Center'!$AO$26*(1+Assumptions!$B$23)^Assumptions!$B$15-'Per-Center'!$AK$26*((1+Assumptions!$B$23)^Assumptions!$B$15-1)/Assumptions!$B$23)),0))</f>
        <v/>
      </c>
      <c r="I26" s="57">
        <f>IF(6&gt;Assumptions!$B$15,0,(1*'Per-Center'!$AC$26-('Per-Center'!$AD$26+'Per-Center'!$AE$26+'Per-Center'!$AF$26)+('Per-Center'!$AG$26+'Per-Center'!$AH$26+'Per-Center'!$AI$26+Assumptions!$B$29)-'Per-Center'!$AK$26)+IF(6=Assumptions!$B$15,('Per-Center'!$AJ$26/Assumptions!$B$16-('Per-Center'!$AO$26*(1+Assumptions!$B$23)^Assumptions!$B$15-'Per-Center'!$AK$26*((1+Assumptions!$B$23)^Assumptions!$B$15-1)/Assumptions!$B$23)),0))</f>
        <v/>
      </c>
      <c r="J26" s="57">
        <f>IF(7&gt;Assumptions!$B$15,0,(1*'Per-Center'!$AC$26-('Per-Center'!$AD$26+'Per-Center'!$AE$26+'Per-Center'!$AF$26)+('Per-Center'!$AG$26+'Per-Center'!$AH$26+'Per-Center'!$AI$26+Assumptions!$B$29)-'Per-Center'!$AK$26)+IF(7=Assumptions!$B$15,('Per-Center'!$AJ$26/Assumptions!$B$16-('Per-Center'!$AO$26*(1+Assumptions!$B$23)^Assumptions!$B$15-'Per-Center'!$AK$26*((1+Assumptions!$B$23)^Assumptions!$B$15-1)/Assumptions!$B$23)),0))</f>
        <v/>
      </c>
      <c r="K26" s="86">
        <f>IF(8&gt;Assumptions!$B$15,0,(1*'Per-Center'!$AC$26-('Per-Center'!$AD$26+'Per-Center'!$AE$26+'Per-Center'!$AF$26)+('Per-Center'!$AG$26+'Per-Center'!$AH$26+'Per-Center'!$AI$26+Assumptions!$B$29)-'Per-Center'!$AK$26)+IF(8=Assumptions!$B$15,('Per-Center'!$AJ$26/Assumptions!$B$16-('Per-Center'!$AO$26*(1+Assumptions!$B$23)^Assumptions!$B$15-'Per-Center'!$AK$26*((1+Assumptions!$B$23)^Assumptions!$B$15-1)/Assumptions!$B$23)),0))</f>
        <v/>
      </c>
      <c r="L26" s="86">
        <f>IF(9&gt;Assumptions!$B$15,0,(1*'Per-Center'!$AC$26-('Per-Center'!$AD$26+'Per-Center'!$AE$26+'Per-Center'!$AF$26)+('Per-Center'!$AG$26+'Per-Center'!$AH$26+'Per-Center'!$AI$26+Assumptions!$B$29)-'Per-Center'!$AK$26)+IF(9=Assumptions!$B$15,('Per-Center'!$AJ$26/Assumptions!$B$16-('Per-Center'!$AO$26*(1+Assumptions!$B$23)^Assumptions!$B$15-'Per-Center'!$AK$26*((1+Assumptions!$B$23)^Assumptions!$B$15-1)/Assumptions!$B$23)),0))</f>
        <v/>
      </c>
      <c r="M26" s="86">
        <f>IF(10&gt;Assumptions!$B$15,0,(1*'Per-Center'!$AC$26-('Per-Center'!$AD$26+'Per-Center'!$AE$26+'Per-Center'!$AF$26)+('Per-Center'!$AG$26+'Per-Center'!$AH$26+'Per-Center'!$AI$26+Assumptions!$B$29)-'Per-Center'!$AK$26)+IF(10=Assumptions!$B$15,('Per-Center'!$AJ$26/Assumptions!$B$16-('Per-Center'!$AO$26*(1+Assumptions!$B$23)^Assumptions!$B$15-'Per-Center'!$AK$26*((1+Assumptions!$B$23)^Assumptions!$B$15-1)/Assumptions!$B$23)),0))</f>
        <v/>
      </c>
      <c r="N26" s="66">
        <f>IFERROR(IRR(D26:M26,0.1),-0.99)</f>
        <v/>
      </c>
      <c r="O26" s="63">
        <f>IF((0.5*'Per-Center'!$AC$26-('Per-Center'!$AD$26+'Per-Center'!$AE$26+'Per-Center'!$AF$26)+('Per-Center'!$AG$26+'Per-Center'!$AH$26+'Per-Center'!$AI$26+Assumptions!$B$29))&gt;='Per-Center'!$AK$26,1,IF((0.75*'Per-Center'!$AC$26-('Per-Center'!$AD$26+'Per-Center'!$AE$26+'Per-Center'!$AF$26)+('Per-Center'!$AG$26+'Per-Center'!$AH$26+'Per-Center'!$AI$26+Assumptions!$B$29))&gt;='Per-Center'!$AK$26,2,IF(('Per-Center'!$AC$26-('Per-Center'!$AD$26+'Per-Center'!$AE$26+'Per-Center'!$AF$26)+('Per-Center'!$AG$26+'Per-Center'!$AH$26+'Per-Center'!$AI$26+Assumptions!$B$29))&gt;='Per-Center'!$AK$26,3,"&gt;"&amp;Assumptions!$B$15)))</f>
        <v/>
      </c>
      <c r="P26" s="57">
        <f>'Per-Center'!$AJ$26/Assumptions!$B$16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L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1" customWidth="1" style="40" min="1" max="1"/>
    <col width="14" customWidth="1" style="40" min="2" max="2"/>
    <col width="11" customWidth="1" style="40" min="3" max="12"/>
  </cols>
  <sheetData>
    <row r="1" ht="30" customHeight="1" s="41">
      <c r="A1" s="48" t="inlineStr">
        <is>
          <t>Rank</t>
        </is>
      </c>
      <c r="B1" s="48" t="inlineStr">
        <is>
          <t>Community</t>
        </is>
      </c>
      <c r="C1" s="48" t="inlineStr">
        <is>
          <t>Tier</t>
        </is>
      </c>
      <c r="D1" s="48" t="inlineStr">
        <is>
          <t>NOC</t>
        </is>
      </c>
      <c r="E1" s="48" t="inlineStr">
        <is>
          <t>Deploy</t>
        </is>
      </c>
      <c r="F1" s="48" t="inlineStr">
        <is>
          <t>Enclaves</t>
        </is>
      </c>
      <c r="G1" s="48" t="inlineStr">
        <is>
          <t>Total CapEx</t>
        </is>
      </c>
      <c r="H1" s="48" t="inlineStr">
        <is>
          <t>LP Equity</t>
        </is>
      </c>
      <c r="I1" s="48" t="inlineStr">
        <is>
          <t>Break-even</t>
        </is>
      </c>
      <c r="J1" s="48" t="inlineStr">
        <is>
          <t>Local IRR</t>
        </is>
      </c>
      <c r="K1" s="48" t="inlineStr">
        <is>
          <t>SPV Exit</t>
        </is>
      </c>
      <c r="L1" s="48" t="inlineStr">
        <is>
          <t>QRI</t>
        </is>
      </c>
    </row>
    <row r="2" ht="15" customHeight="1" s="41">
      <c r="A2" s="46">
        <f>RANK(J2,$J$2:$J$26)</f>
        <v/>
      </c>
      <c r="B2" s="71">
        <f>'Per-Center'!$A$2</f>
        <v/>
      </c>
      <c r="C2" s="71">
        <f>'Per-Center'!$C$2</f>
        <v/>
      </c>
      <c r="D2" s="80">
        <f>'Per-Center'!$F$2</f>
        <v/>
      </c>
      <c r="E2" s="80">
        <f>"Y"&amp;'Per-Center'!$G$2</f>
        <v/>
      </c>
      <c r="F2" s="56">
        <f>'Per-Center'!$H$2</f>
        <v/>
      </c>
      <c r="G2" s="57">
        <f>'Per-Center'!$AB$2</f>
        <v/>
      </c>
      <c r="H2" s="57">
        <f>'Per-Center'!$AP$2</f>
        <v/>
      </c>
      <c r="I2" s="80">
        <f>Returns!$O$2</f>
        <v/>
      </c>
      <c r="J2" s="81">
        <f>Returns!$N$2</f>
        <v/>
      </c>
      <c r="K2" s="57">
        <f>Returns!$P$2</f>
        <v/>
      </c>
      <c r="L2" s="64" t="n">
        <v>88</v>
      </c>
    </row>
    <row r="3" ht="15" customHeight="1" s="41">
      <c r="A3" s="46">
        <f>RANK(J3,$J$2:$J$26)</f>
        <v/>
      </c>
      <c r="B3" s="71">
        <f>'Per-Center'!$A$3</f>
        <v/>
      </c>
      <c r="C3" s="71">
        <f>'Per-Center'!$C$3</f>
        <v/>
      </c>
      <c r="D3" s="80">
        <f>'Per-Center'!$F$3</f>
        <v/>
      </c>
      <c r="E3" s="80">
        <f>"Y"&amp;'Per-Center'!$G$3</f>
        <v/>
      </c>
      <c r="F3" s="56">
        <f>'Per-Center'!$H$3</f>
        <v/>
      </c>
      <c r="G3" s="57">
        <f>'Per-Center'!$AB$3</f>
        <v/>
      </c>
      <c r="H3" s="57">
        <f>'Per-Center'!$AP$3</f>
        <v/>
      </c>
      <c r="I3" s="80">
        <f>Returns!$O$3</f>
        <v/>
      </c>
      <c r="J3" s="81">
        <f>Returns!$N$3</f>
        <v/>
      </c>
      <c r="K3" s="57">
        <f>Returns!$P$3</f>
        <v/>
      </c>
      <c r="L3" s="64" t="n">
        <v>88</v>
      </c>
    </row>
    <row r="4" ht="15" customHeight="1" s="41">
      <c r="A4" s="46">
        <f>RANK(J4,$J$2:$J$26)</f>
        <v/>
      </c>
      <c r="B4" s="71">
        <f>'Per-Center'!$A$4</f>
        <v/>
      </c>
      <c r="C4" s="71">
        <f>'Per-Center'!$C$4</f>
        <v/>
      </c>
      <c r="D4" s="80">
        <f>'Per-Center'!$F$4</f>
        <v/>
      </c>
      <c r="E4" s="80">
        <f>"Y"&amp;'Per-Center'!$G$4</f>
        <v/>
      </c>
      <c r="F4" s="56">
        <f>'Per-Center'!$H$4</f>
        <v/>
      </c>
      <c r="G4" s="57">
        <f>'Per-Center'!$AB$4</f>
        <v/>
      </c>
      <c r="H4" s="57">
        <f>'Per-Center'!$AP$4</f>
        <v/>
      </c>
      <c r="I4" s="80">
        <f>Returns!$O$4</f>
        <v/>
      </c>
      <c r="J4" s="81">
        <f>Returns!$N$4</f>
        <v/>
      </c>
      <c r="K4" s="57">
        <f>Returns!$P$4</f>
        <v/>
      </c>
      <c r="L4" s="64" t="n">
        <v>90</v>
      </c>
    </row>
    <row r="5" ht="15" customHeight="1" s="41">
      <c r="A5" s="46">
        <f>RANK(J5,$J$2:$J$26)</f>
        <v/>
      </c>
      <c r="B5" s="71">
        <f>'Per-Center'!$A$5</f>
        <v/>
      </c>
      <c r="C5" s="71">
        <f>'Per-Center'!$C$5</f>
        <v/>
      </c>
      <c r="D5" s="80">
        <f>'Per-Center'!$F$5</f>
        <v/>
      </c>
      <c r="E5" s="80">
        <f>"Y"&amp;'Per-Center'!$G$5</f>
        <v/>
      </c>
      <c r="F5" s="56">
        <f>'Per-Center'!$H$5</f>
        <v/>
      </c>
      <c r="G5" s="57">
        <f>'Per-Center'!$AB$5</f>
        <v/>
      </c>
      <c r="H5" s="57">
        <f>'Per-Center'!$AP$5</f>
        <v/>
      </c>
      <c r="I5" s="80">
        <f>Returns!$O$5</f>
        <v/>
      </c>
      <c r="J5" s="81">
        <f>Returns!$N$5</f>
        <v/>
      </c>
      <c r="K5" s="57">
        <f>Returns!$P$5</f>
        <v/>
      </c>
      <c r="L5" s="64" t="n">
        <v>89</v>
      </c>
    </row>
    <row r="6" ht="15" customHeight="1" s="41">
      <c r="A6" s="46">
        <f>RANK(J6,$J$2:$J$26)</f>
        <v/>
      </c>
      <c r="B6" s="71">
        <f>'Per-Center'!$A$6</f>
        <v/>
      </c>
      <c r="C6" s="71">
        <f>'Per-Center'!$C$6</f>
        <v/>
      </c>
      <c r="D6" s="80">
        <f>'Per-Center'!$F$6</f>
        <v/>
      </c>
      <c r="E6" s="80">
        <f>"Y"&amp;'Per-Center'!$G$6</f>
        <v/>
      </c>
      <c r="F6" s="56">
        <f>'Per-Center'!$H$6</f>
        <v/>
      </c>
      <c r="G6" s="57">
        <f>'Per-Center'!$AB$6</f>
        <v/>
      </c>
      <c r="H6" s="57">
        <f>'Per-Center'!$AP$6</f>
        <v/>
      </c>
      <c r="I6" s="80">
        <f>Returns!$O$6</f>
        <v/>
      </c>
      <c r="J6" s="81">
        <f>Returns!$N$6</f>
        <v/>
      </c>
      <c r="K6" s="57">
        <f>Returns!$P$6</f>
        <v/>
      </c>
      <c r="L6" s="64" t="n">
        <v>89</v>
      </c>
    </row>
    <row r="7" ht="15" customHeight="1" s="41">
      <c r="A7" s="46">
        <f>RANK(J7,$J$2:$J$26)</f>
        <v/>
      </c>
      <c r="B7" s="71">
        <f>'Per-Center'!$A$7</f>
        <v/>
      </c>
      <c r="C7" s="71">
        <f>'Per-Center'!$C$7</f>
        <v/>
      </c>
      <c r="D7" s="80">
        <f>'Per-Center'!$F$7</f>
        <v/>
      </c>
      <c r="E7" s="80">
        <f>"Y"&amp;'Per-Center'!$G$7</f>
        <v/>
      </c>
      <c r="F7" s="56">
        <f>'Per-Center'!$H$7</f>
        <v/>
      </c>
      <c r="G7" s="57">
        <f>'Per-Center'!$AB$7</f>
        <v/>
      </c>
      <c r="H7" s="57">
        <f>'Per-Center'!$AP$7</f>
        <v/>
      </c>
      <c r="I7" s="80">
        <f>Returns!$O$7</f>
        <v/>
      </c>
      <c r="J7" s="81">
        <f>Returns!$N$7</f>
        <v/>
      </c>
      <c r="K7" s="57">
        <f>Returns!$P$7</f>
        <v/>
      </c>
      <c r="L7" s="64" t="n">
        <v>81</v>
      </c>
    </row>
    <row r="8" ht="15" customHeight="1" s="41">
      <c r="A8" s="46">
        <f>RANK(J8,$J$2:$J$26)</f>
        <v/>
      </c>
      <c r="B8" s="71">
        <f>'Per-Center'!$A$8</f>
        <v/>
      </c>
      <c r="C8" s="71">
        <f>'Per-Center'!$C$8</f>
        <v/>
      </c>
      <c r="D8" s="80">
        <f>'Per-Center'!$F$8</f>
        <v/>
      </c>
      <c r="E8" s="80">
        <f>"Y"&amp;'Per-Center'!$G$8</f>
        <v/>
      </c>
      <c r="F8" s="56">
        <f>'Per-Center'!$H$8</f>
        <v/>
      </c>
      <c r="G8" s="57">
        <f>'Per-Center'!$AB$8</f>
        <v/>
      </c>
      <c r="H8" s="57">
        <f>'Per-Center'!$AP$8</f>
        <v/>
      </c>
      <c r="I8" s="80">
        <f>Returns!$O$8</f>
        <v/>
      </c>
      <c r="J8" s="81">
        <f>Returns!$N$8</f>
        <v/>
      </c>
      <c r="K8" s="57">
        <f>Returns!$P$8</f>
        <v/>
      </c>
      <c r="L8" s="64" t="n">
        <v>81</v>
      </c>
    </row>
    <row r="9" ht="15" customHeight="1" s="41">
      <c r="A9" s="46">
        <f>RANK(J9,$J$2:$J$26)</f>
        <v/>
      </c>
      <c r="B9" s="71">
        <f>'Per-Center'!$A$9</f>
        <v/>
      </c>
      <c r="C9" s="71">
        <f>'Per-Center'!$C$9</f>
        <v/>
      </c>
      <c r="D9" s="80">
        <f>'Per-Center'!$F$9</f>
        <v/>
      </c>
      <c r="E9" s="80">
        <f>"Y"&amp;'Per-Center'!$G$9</f>
        <v/>
      </c>
      <c r="F9" s="56">
        <f>'Per-Center'!$H$9</f>
        <v/>
      </c>
      <c r="G9" s="57">
        <f>'Per-Center'!$AB$9</f>
        <v/>
      </c>
      <c r="H9" s="57">
        <f>'Per-Center'!$AP$9</f>
        <v/>
      </c>
      <c r="I9" s="80">
        <f>Returns!$O$9</f>
        <v/>
      </c>
      <c r="J9" s="81">
        <f>Returns!$N$9</f>
        <v/>
      </c>
      <c r="K9" s="57">
        <f>Returns!$P$9</f>
        <v/>
      </c>
      <c r="L9" s="64" t="n">
        <v>81</v>
      </c>
    </row>
    <row r="10" ht="15" customHeight="1" s="41">
      <c r="A10" s="46">
        <f>RANK(J10,$J$2:$J$26)</f>
        <v/>
      </c>
      <c r="B10" s="71">
        <f>'Per-Center'!$A$10</f>
        <v/>
      </c>
      <c r="C10" s="71">
        <f>'Per-Center'!$C$10</f>
        <v/>
      </c>
      <c r="D10" s="80">
        <f>'Per-Center'!$F$10</f>
        <v/>
      </c>
      <c r="E10" s="80">
        <f>"Y"&amp;'Per-Center'!$G$10</f>
        <v/>
      </c>
      <c r="F10" s="56">
        <f>'Per-Center'!$H$10</f>
        <v/>
      </c>
      <c r="G10" s="57">
        <f>'Per-Center'!$AB$10</f>
        <v/>
      </c>
      <c r="H10" s="57">
        <f>'Per-Center'!$AP$10</f>
        <v/>
      </c>
      <c r="I10" s="80">
        <f>Returns!$O$10</f>
        <v/>
      </c>
      <c r="J10" s="81">
        <f>Returns!$N$10</f>
        <v/>
      </c>
      <c r="K10" s="57">
        <f>Returns!$P$10</f>
        <v/>
      </c>
      <c r="L10" s="64" t="n">
        <v>81</v>
      </c>
    </row>
    <row r="11" ht="15" customHeight="1" s="41">
      <c r="A11" s="46">
        <f>RANK(J11,$J$2:$J$26)</f>
        <v/>
      </c>
      <c r="B11" s="71">
        <f>'Per-Center'!$A$11</f>
        <v/>
      </c>
      <c r="C11" s="71">
        <f>'Per-Center'!$C$11</f>
        <v/>
      </c>
      <c r="D11" s="80">
        <f>'Per-Center'!$F$11</f>
        <v/>
      </c>
      <c r="E11" s="80">
        <f>"Y"&amp;'Per-Center'!$G$11</f>
        <v/>
      </c>
      <c r="F11" s="56">
        <f>'Per-Center'!$H$11</f>
        <v/>
      </c>
      <c r="G11" s="57">
        <f>'Per-Center'!$AB$11</f>
        <v/>
      </c>
      <c r="H11" s="57">
        <f>'Per-Center'!$AP$11</f>
        <v/>
      </c>
      <c r="I11" s="80">
        <f>Returns!$O$11</f>
        <v/>
      </c>
      <c r="J11" s="81">
        <f>Returns!$N$11</f>
        <v/>
      </c>
      <c r="K11" s="57">
        <f>Returns!$P$11</f>
        <v/>
      </c>
      <c r="L11" s="64" t="n">
        <v>81</v>
      </c>
    </row>
    <row r="12" ht="15" customHeight="1" s="41">
      <c r="A12" s="46">
        <f>RANK(J12,$J$2:$J$26)</f>
        <v/>
      </c>
      <c r="B12" s="71">
        <f>'Per-Center'!$A$12</f>
        <v/>
      </c>
      <c r="C12" s="71">
        <f>'Per-Center'!$C$12</f>
        <v/>
      </c>
      <c r="D12" s="80">
        <f>'Per-Center'!$F$12</f>
        <v/>
      </c>
      <c r="E12" s="80">
        <f>"Y"&amp;'Per-Center'!$G$12</f>
        <v/>
      </c>
      <c r="F12" s="56">
        <f>'Per-Center'!$H$12</f>
        <v/>
      </c>
      <c r="G12" s="57">
        <f>'Per-Center'!$AB$12</f>
        <v/>
      </c>
      <c r="H12" s="57">
        <f>'Per-Center'!$AP$12</f>
        <v/>
      </c>
      <c r="I12" s="80">
        <f>Returns!$O$12</f>
        <v/>
      </c>
      <c r="J12" s="81">
        <f>Returns!$N$12</f>
        <v/>
      </c>
      <c r="K12" s="57">
        <f>Returns!$P$12</f>
        <v/>
      </c>
      <c r="L12" s="64" t="n">
        <v>82</v>
      </c>
    </row>
    <row r="13" ht="15" customHeight="1" s="41">
      <c r="A13" s="46">
        <f>RANK(J13,$J$2:$J$26)</f>
        <v/>
      </c>
      <c r="B13" s="71">
        <f>'Per-Center'!$A$13</f>
        <v/>
      </c>
      <c r="C13" s="71">
        <f>'Per-Center'!$C$13</f>
        <v/>
      </c>
      <c r="D13" s="80">
        <f>'Per-Center'!$F$13</f>
        <v/>
      </c>
      <c r="E13" s="80">
        <f>"Y"&amp;'Per-Center'!$G$13</f>
        <v/>
      </c>
      <c r="F13" s="56">
        <f>'Per-Center'!$H$13</f>
        <v/>
      </c>
      <c r="G13" s="57">
        <f>'Per-Center'!$AB$13</f>
        <v/>
      </c>
      <c r="H13" s="57">
        <f>'Per-Center'!$AP$13</f>
        <v/>
      </c>
      <c r="I13" s="80">
        <f>Returns!$O$13</f>
        <v/>
      </c>
      <c r="J13" s="81">
        <f>Returns!$N$13</f>
        <v/>
      </c>
      <c r="K13" s="57">
        <f>Returns!$P$13</f>
        <v/>
      </c>
      <c r="L13" s="64" t="n">
        <v>81</v>
      </c>
    </row>
    <row r="14" ht="15" customHeight="1" s="41">
      <c r="A14" s="46">
        <f>RANK(J14,$J$2:$J$26)</f>
        <v/>
      </c>
      <c r="B14" s="71">
        <f>'Per-Center'!$A$14</f>
        <v/>
      </c>
      <c r="C14" s="71">
        <f>'Per-Center'!$C$14</f>
        <v/>
      </c>
      <c r="D14" s="80">
        <f>'Per-Center'!$F$14</f>
        <v/>
      </c>
      <c r="E14" s="80">
        <f>"Y"&amp;'Per-Center'!$G$14</f>
        <v/>
      </c>
      <c r="F14" s="56">
        <f>'Per-Center'!$H$14</f>
        <v/>
      </c>
      <c r="G14" s="57">
        <f>'Per-Center'!$AB$14</f>
        <v/>
      </c>
      <c r="H14" s="57">
        <f>'Per-Center'!$AP$14</f>
        <v/>
      </c>
      <c r="I14" s="80">
        <f>Returns!$O$14</f>
        <v/>
      </c>
      <c r="J14" s="81">
        <f>Returns!$N$14</f>
        <v/>
      </c>
      <c r="K14" s="57">
        <f>Returns!$P$14</f>
        <v/>
      </c>
      <c r="L14" s="64" t="n">
        <v>81</v>
      </c>
    </row>
    <row r="15" ht="15" customHeight="1" s="41">
      <c r="A15" s="46">
        <f>RANK(J15,$J$2:$J$26)</f>
        <v/>
      </c>
      <c r="B15" s="71">
        <f>'Per-Center'!$A$15</f>
        <v/>
      </c>
      <c r="C15" s="71">
        <f>'Per-Center'!$C$15</f>
        <v/>
      </c>
      <c r="D15" s="80">
        <f>'Per-Center'!$F$15</f>
        <v/>
      </c>
      <c r="E15" s="80">
        <f>"Y"&amp;'Per-Center'!$G$15</f>
        <v/>
      </c>
      <c r="F15" s="56">
        <f>'Per-Center'!$H$15</f>
        <v/>
      </c>
      <c r="G15" s="57">
        <f>'Per-Center'!$AB$15</f>
        <v/>
      </c>
      <c r="H15" s="57">
        <f>'Per-Center'!$AP$15</f>
        <v/>
      </c>
      <c r="I15" s="80">
        <f>Returns!$O$15</f>
        <v/>
      </c>
      <c r="J15" s="81">
        <f>Returns!$N$15</f>
        <v/>
      </c>
      <c r="K15" s="57">
        <f>Returns!$P$15</f>
        <v/>
      </c>
      <c r="L15" s="64" t="n">
        <v>81</v>
      </c>
    </row>
    <row r="16" ht="15" customHeight="1" s="41">
      <c r="A16" s="46">
        <f>RANK(J16,$J$2:$J$26)</f>
        <v/>
      </c>
      <c r="B16" s="71">
        <f>'Per-Center'!$A$16</f>
        <v/>
      </c>
      <c r="C16" s="71">
        <f>'Per-Center'!$C$16</f>
        <v/>
      </c>
      <c r="D16" s="80">
        <f>'Per-Center'!$F$16</f>
        <v/>
      </c>
      <c r="E16" s="80">
        <f>"Y"&amp;'Per-Center'!$G$16</f>
        <v/>
      </c>
      <c r="F16" s="56">
        <f>'Per-Center'!$H$16</f>
        <v/>
      </c>
      <c r="G16" s="57">
        <f>'Per-Center'!$AB$16</f>
        <v/>
      </c>
      <c r="H16" s="57">
        <f>'Per-Center'!$AP$16</f>
        <v/>
      </c>
      <c r="I16" s="80">
        <f>Returns!$O$16</f>
        <v/>
      </c>
      <c r="J16" s="81">
        <f>Returns!$N$16</f>
        <v/>
      </c>
      <c r="K16" s="57">
        <f>Returns!$P$16</f>
        <v/>
      </c>
      <c r="L16" s="64" t="n">
        <v>77</v>
      </c>
    </row>
    <row r="17" ht="15" customHeight="1" s="41">
      <c r="A17" s="46">
        <f>RANK(J17,$J$2:$J$26)</f>
        <v/>
      </c>
      <c r="B17" s="71">
        <f>'Per-Center'!$A$17</f>
        <v/>
      </c>
      <c r="C17" s="71">
        <f>'Per-Center'!$C$17</f>
        <v/>
      </c>
      <c r="D17" s="80">
        <f>'Per-Center'!$F$17</f>
        <v/>
      </c>
      <c r="E17" s="80">
        <f>"Y"&amp;'Per-Center'!$G$17</f>
        <v/>
      </c>
      <c r="F17" s="56">
        <f>'Per-Center'!$H$17</f>
        <v/>
      </c>
      <c r="G17" s="57">
        <f>'Per-Center'!$AB$17</f>
        <v/>
      </c>
      <c r="H17" s="57">
        <f>'Per-Center'!$AP$17</f>
        <v/>
      </c>
      <c r="I17" s="80">
        <f>Returns!$O$17</f>
        <v/>
      </c>
      <c r="J17" s="81">
        <f>Returns!$N$17</f>
        <v/>
      </c>
      <c r="K17" s="57">
        <f>Returns!$P$17</f>
        <v/>
      </c>
      <c r="L17" s="64" t="n">
        <v>77</v>
      </c>
    </row>
    <row r="18" ht="15" customHeight="1" s="41">
      <c r="A18" s="46">
        <f>RANK(J18,$J$2:$J$26)</f>
        <v/>
      </c>
      <c r="B18" s="71">
        <f>'Per-Center'!$A$18</f>
        <v/>
      </c>
      <c r="C18" s="71">
        <f>'Per-Center'!$C$18</f>
        <v/>
      </c>
      <c r="D18" s="80">
        <f>'Per-Center'!$F$18</f>
        <v/>
      </c>
      <c r="E18" s="80">
        <f>"Y"&amp;'Per-Center'!$G$18</f>
        <v/>
      </c>
      <c r="F18" s="56">
        <f>'Per-Center'!$H$18</f>
        <v/>
      </c>
      <c r="G18" s="57">
        <f>'Per-Center'!$AB$18</f>
        <v/>
      </c>
      <c r="H18" s="57">
        <f>'Per-Center'!$AP$18</f>
        <v/>
      </c>
      <c r="I18" s="80">
        <f>Returns!$O$18</f>
        <v/>
      </c>
      <c r="J18" s="81">
        <f>Returns!$N$18</f>
        <v/>
      </c>
      <c r="K18" s="57">
        <f>Returns!$P$18</f>
        <v/>
      </c>
      <c r="L18" s="64" t="n">
        <v>77</v>
      </c>
    </row>
    <row r="19" ht="15" customHeight="1" s="41">
      <c r="A19" s="46">
        <f>RANK(J19,$J$2:$J$26)</f>
        <v/>
      </c>
      <c r="B19" s="71">
        <f>'Per-Center'!$A$19</f>
        <v/>
      </c>
      <c r="C19" s="71">
        <f>'Per-Center'!$C$19</f>
        <v/>
      </c>
      <c r="D19" s="80">
        <f>'Per-Center'!$F$19</f>
        <v/>
      </c>
      <c r="E19" s="80">
        <f>"Y"&amp;'Per-Center'!$G$19</f>
        <v/>
      </c>
      <c r="F19" s="56">
        <f>'Per-Center'!$H$19</f>
        <v/>
      </c>
      <c r="G19" s="57">
        <f>'Per-Center'!$AB$19</f>
        <v/>
      </c>
      <c r="H19" s="57">
        <f>'Per-Center'!$AP$19</f>
        <v/>
      </c>
      <c r="I19" s="80">
        <f>Returns!$O$19</f>
        <v/>
      </c>
      <c r="J19" s="81">
        <f>Returns!$N$19</f>
        <v/>
      </c>
      <c r="K19" s="57">
        <f>Returns!$P$19</f>
        <v/>
      </c>
      <c r="L19" s="64" t="n">
        <v>77</v>
      </c>
    </row>
    <row r="20" ht="15" customHeight="1" s="41">
      <c r="A20" s="46">
        <f>RANK(J20,$J$2:$J$26)</f>
        <v/>
      </c>
      <c r="B20" s="71">
        <f>'Per-Center'!$A$20</f>
        <v/>
      </c>
      <c r="C20" s="71">
        <f>'Per-Center'!$C$20</f>
        <v/>
      </c>
      <c r="D20" s="80">
        <f>'Per-Center'!$F$20</f>
        <v/>
      </c>
      <c r="E20" s="80">
        <f>"Y"&amp;'Per-Center'!$G$20</f>
        <v/>
      </c>
      <c r="F20" s="56">
        <f>'Per-Center'!$H$20</f>
        <v/>
      </c>
      <c r="G20" s="57">
        <f>'Per-Center'!$AB$20</f>
        <v/>
      </c>
      <c r="H20" s="57">
        <f>'Per-Center'!$AP$20</f>
        <v/>
      </c>
      <c r="I20" s="80">
        <f>Returns!$O$20</f>
        <v/>
      </c>
      <c r="J20" s="81">
        <f>Returns!$N$20</f>
        <v/>
      </c>
      <c r="K20" s="57">
        <f>Returns!$P$20</f>
        <v/>
      </c>
      <c r="L20" s="64" t="n">
        <v>77</v>
      </c>
    </row>
    <row r="21" ht="15" customHeight="1" s="41">
      <c r="A21" s="46">
        <f>RANK(J21,$J$2:$J$26)</f>
        <v/>
      </c>
      <c r="B21" s="71">
        <f>'Per-Center'!$A$21</f>
        <v/>
      </c>
      <c r="C21" s="71">
        <f>'Per-Center'!$C$21</f>
        <v/>
      </c>
      <c r="D21" s="80">
        <f>'Per-Center'!$F$21</f>
        <v/>
      </c>
      <c r="E21" s="80">
        <f>"Y"&amp;'Per-Center'!$G$21</f>
        <v/>
      </c>
      <c r="F21" s="56">
        <f>'Per-Center'!$H$21</f>
        <v/>
      </c>
      <c r="G21" s="57">
        <f>'Per-Center'!$AB$21</f>
        <v/>
      </c>
      <c r="H21" s="57">
        <f>'Per-Center'!$AP$21</f>
        <v/>
      </c>
      <c r="I21" s="80">
        <f>Returns!$O$21</f>
        <v/>
      </c>
      <c r="J21" s="81">
        <f>Returns!$N$21</f>
        <v/>
      </c>
      <c r="K21" s="57">
        <f>Returns!$P$21</f>
        <v/>
      </c>
      <c r="L21" s="64" t="n">
        <v>71</v>
      </c>
    </row>
    <row r="22" ht="15" customHeight="1" s="41">
      <c r="A22" s="46">
        <f>RANK(J22,$J$2:$J$26)</f>
        <v/>
      </c>
      <c r="B22" s="71">
        <f>'Per-Center'!$A$22</f>
        <v/>
      </c>
      <c r="C22" s="71">
        <f>'Per-Center'!$C$22</f>
        <v/>
      </c>
      <c r="D22" s="80">
        <f>'Per-Center'!$F$22</f>
        <v/>
      </c>
      <c r="E22" s="80">
        <f>"Y"&amp;'Per-Center'!$G$22</f>
        <v/>
      </c>
      <c r="F22" s="56">
        <f>'Per-Center'!$H$22</f>
        <v/>
      </c>
      <c r="G22" s="57">
        <f>'Per-Center'!$AB$22</f>
        <v/>
      </c>
      <c r="H22" s="57">
        <f>'Per-Center'!$AP$22</f>
        <v/>
      </c>
      <c r="I22" s="80">
        <f>Returns!$O$22</f>
        <v/>
      </c>
      <c r="J22" s="81">
        <f>Returns!$N$22</f>
        <v/>
      </c>
      <c r="K22" s="57">
        <f>Returns!$P$22</f>
        <v/>
      </c>
      <c r="L22" s="64" t="n">
        <v>71</v>
      </c>
    </row>
    <row r="23" ht="15" customHeight="1" s="41">
      <c r="A23" s="46">
        <f>RANK(J23,$J$2:$J$26)</f>
        <v/>
      </c>
      <c r="B23" s="71">
        <f>'Per-Center'!$A$23</f>
        <v/>
      </c>
      <c r="C23" s="71">
        <f>'Per-Center'!$C$23</f>
        <v/>
      </c>
      <c r="D23" s="80">
        <f>'Per-Center'!$F$23</f>
        <v/>
      </c>
      <c r="E23" s="80">
        <f>"Y"&amp;'Per-Center'!$G$23</f>
        <v/>
      </c>
      <c r="F23" s="56">
        <f>'Per-Center'!$H$23</f>
        <v/>
      </c>
      <c r="G23" s="57">
        <f>'Per-Center'!$AB$23</f>
        <v/>
      </c>
      <c r="H23" s="57">
        <f>'Per-Center'!$AP$23</f>
        <v/>
      </c>
      <c r="I23" s="80">
        <f>Returns!$O$23</f>
        <v/>
      </c>
      <c r="J23" s="81">
        <f>Returns!$N$23</f>
        <v/>
      </c>
      <c r="K23" s="57">
        <f>Returns!$P$23</f>
        <v/>
      </c>
      <c r="L23" s="64" t="n">
        <v>71</v>
      </c>
    </row>
    <row r="24" ht="15" customHeight="1" s="41">
      <c r="A24" s="46">
        <f>RANK(J24,$J$2:$J$26)</f>
        <v/>
      </c>
      <c r="B24" s="71">
        <f>'Per-Center'!$A$24</f>
        <v/>
      </c>
      <c r="C24" s="71">
        <f>'Per-Center'!$C$24</f>
        <v/>
      </c>
      <c r="D24" s="80">
        <f>'Per-Center'!$F$24</f>
        <v/>
      </c>
      <c r="E24" s="80">
        <f>"Y"&amp;'Per-Center'!$G$24</f>
        <v/>
      </c>
      <c r="F24" s="56">
        <f>'Per-Center'!$H$24</f>
        <v/>
      </c>
      <c r="G24" s="57">
        <f>'Per-Center'!$AB$24</f>
        <v/>
      </c>
      <c r="H24" s="57">
        <f>'Per-Center'!$AP$24</f>
        <v/>
      </c>
      <c r="I24" s="80">
        <f>Returns!$O$24</f>
        <v/>
      </c>
      <c r="J24" s="81">
        <f>Returns!$N$24</f>
        <v/>
      </c>
      <c r="K24" s="57">
        <f>Returns!$P$24</f>
        <v/>
      </c>
      <c r="L24" s="64" t="n">
        <v>71</v>
      </c>
    </row>
    <row r="25" ht="15" customHeight="1" s="41">
      <c r="A25" s="46">
        <f>RANK(J25,$J$2:$J$26)</f>
        <v/>
      </c>
      <c r="B25" s="71">
        <f>'Per-Center'!$A$25</f>
        <v/>
      </c>
      <c r="C25" s="71">
        <f>'Per-Center'!$C$25</f>
        <v/>
      </c>
      <c r="D25" s="80">
        <f>'Per-Center'!$F$25</f>
        <v/>
      </c>
      <c r="E25" s="80">
        <f>"Y"&amp;'Per-Center'!$G$25</f>
        <v/>
      </c>
      <c r="F25" s="56">
        <f>'Per-Center'!$H$25</f>
        <v/>
      </c>
      <c r="G25" s="57">
        <f>'Per-Center'!$AB$25</f>
        <v/>
      </c>
      <c r="H25" s="57">
        <f>'Per-Center'!$AP$25</f>
        <v/>
      </c>
      <c r="I25" s="80">
        <f>Returns!$O$25</f>
        <v/>
      </c>
      <c r="J25" s="81">
        <f>Returns!$N$25</f>
        <v/>
      </c>
      <c r="K25" s="57">
        <f>Returns!$P$25</f>
        <v/>
      </c>
      <c r="L25" s="64" t="n">
        <v>71</v>
      </c>
    </row>
    <row r="26" ht="15" customHeight="1" s="41">
      <c r="A26" s="46">
        <f>RANK(J26,$J$2:$J$26)</f>
        <v/>
      </c>
      <c r="B26" s="71">
        <f>'Per-Center'!$A$26</f>
        <v/>
      </c>
      <c r="C26" s="71">
        <f>'Per-Center'!$C$26</f>
        <v/>
      </c>
      <c r="D26" s="80">
        <f>'Per-Center'!$F$26</f>
        <v/>
      </c>
      <c r="E26" s="80">
        <f>"Y"&amp;'Per-Center'!$G$26</f>
        <v/>
      </c>
      <c r="F26" s="56">
        <f>'Per-Center'!$H$26</f>
        <v/>
      </c>
      <c r="G26" s="57">
        <f>'Per-Center'!$AB$26</f>
        <v/>
      </c>
      <c r="H26" s="57">
        <f>'Per-Center'!$AP$26</f>
        <v/>
      </c>
      <c r="I26" s="80">
        <f>Returns!$O$26</f>
        <v/>
      </c>
      <c r="J26" s="81">
        <f>Returns!$N$26</f>
        <v/>
      </c>
      <c r="K26" s="57">
        <f>Returns!$P$26</f>
        <v/>
      </c>
      <c r="L26" s="64" t="n">
        <v>71</v>
      </c>
    </row>
    <row r="28" ht="15" customHeight="1" s="41">
      <c r="B28" s="43" t="inlineStr">
        <is>
          <t>◉ = NOC site. QRI illustrative (tier base + host bump). Data&gt;Sort to rank.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2026-06-16T00:52:29Z</dcterms:created>
  <dcterms:modified xmlns:dcterms="http://purl.org/dc/terms/" xmlns:xsi="http://www.w3.org/2001/XMLSchema-instance" xsi:type="dcterms:W3CDTF">2026-08-11T19:45:31Z</dcterms:modified>
  <cp:revision>0</cp:revision>
</cp:coreProperties>
</file>